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ceae627b2ef9b2e/200 - Documents/Documents - Other/900 - Fire Board/Budgets/2025-26/"/>
    </mc:Choice>
  </mc:AlternateContent>
  <xr:revisionPtr revIDLastSave="35" documentId="8_{059DC47E-4432-4A09-B4B1-E80686502C60}" xr6:coauthVersionLast="47" xr6:coauthVersionMax="47" xr10:uidLastSave="{A596171A-48AE-47D7-A955-98624E917410}"/>
  <bookViews>
    <workbookView xWindow="-120" yWindow="-120" windowWidth="24240" windowHeight="13140" xr2:uid="{46F3A952-AF4F-44A7-B8C8-11B0011A775B}"/>
  </bookViews>
  <sheets>
    <sheet name="Budget Rollup" sheetId="1" r:id="rId1"/>
    <sheet name="Rev Distribution" sheetId="12" r:id="rId2"/>
    <sheet name="Payroll" sheetId="2" r:id="rId3"/>
    <sheet name="PSPRS" sheetId="11" r:id="rId4"/>
    <sheet name="Comm" sheetId="14" r:id="rId5"/>
    <sheet name="Training" sheetId="5" r:id="rId6"/>
    <sheet name="Dues" sheetId="6" r:id="rId7"/>
    <sheet name="Utilities" sheetId="7" r:id="rId8"/>
    <sheet name="Propane" sheetId="8" r:id="rId9"/>
    <sheet name="Est of Cap. Reserve not updated" sheetId="16" r:id="rId10"/>
  </sheets>
  <definedNames>
    <definedName name="_xlnm.Print_Area" localSheetId="4">Comm!$A$1:$P$30</definedName>
    <definedName name="_xlnm.Print_Area" localSheetId="6">Dues!$A$1:$P$24</definedName>
    <definedName name="_xlnm.Print_Area" localSheetId="9">'Est of Cap. Reserve not updated'!$A$1:$Q$37</definedName>
    <definedName name="_xlnm.Print_Area" localSheetId="2">Payroll!$A$1:$P$31</definedName>
    <definedName name="_xlnm.Print_Area" localSheetId="3">PSPRS!$A$1:$P$22</definedName>
    <definedName name="_xlnm.Print_Area" localSheetId="1">'Rev Distribution'!$A$1:$K$24</definedName>
    <definedName name="_xlnm.Print_Area" localSheetId="5">Training!$A$1:$P$24</definedName>
    <definedName name="_xlnm.Print_Area" localSheetId="7">Utilities!$A$1:$P$26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8" i="2" l="1"/>
  <c r="P17" i="2"/>
  <c r="R38" i="1"/>
  <c r="N12" i="5"/>
  <c r="P19" i="11" l="1"/>
  <c r="O18" i="11"/>
  <c r="N18" i="11"/>
  <c r="M18" i="11"/>
  <c r="L18" i="11"/>
  <c r="K18" i="11"/>
  <c r="J18" i="11"/>
  <c r="I18" i="11"/>
  <c r="H18" i="11"/>
  <c r="G18" i="11"/>
  <c r="F18" i="11"/>
  <c r="E18" i="11"/>
  <c r="D18" i="11"/>
  <c r="O17" i="11"/>
  <c r="N17" i="11"/>
  <c r="M17" i="11"/>
  <c r="L17" i="11"/>
  <c r="K17" i="11"/>
  <c r="J17" i="11"/>
  <c r="I17" i="11"/>
  <c r="H17" i="11"/>
  <c r="G17" i="11"/>
  <c r="F17" i="11"/>
  <c r="E17" i="11"/>
  <c r="D17" i="11"/>
  <c r="O16" i="11"/>
  <c r="N16" i="11"/>
  <c r="M16" i="11"/>
  <c r="L16" i="11"/>
  <c r="K16" i="11"/>
  <c r="J16" i="11"/>
  <c r="I16" i="11"/>
  <c r="H16" i="11"/>
  <c r="G16" i="11"/>
  <c r="F16" i="11"/>
  <c r="E16" i="11"/>
  <c r="D16" i="11"/>
  <c r="O15" i="11"/>
  <c r="N15" i="11"/>
  <c r="M15" i="11"/>
  <c r="L15" i="11"/>
  <c r="K15" i="11"/>
  <c r="J15" i="11"/>
  <c r="I15" i="11"/>
  <c r="H15" i="11"/>
  <c r="G15" i="11"/>
  <c r="F15" i="11"/>
  <c r="E15" i="11"/>
  <c r="D15" i="11"/>
  <c r="O14" i="11"/>
  <c r="N14" i="11"/>
  <c r="M14" i="11"/>
  <c r="L14" i="11"/>
  <c r="K14" i="11"/>
  <c r="J14" i="11"/>
  <c r="I14" i="11"/>
  <c r="H14" i="11"/>
  <c r="G14" i="11"/>
  <c r="F14" i="11"/>
  <c r="E14" i="11"/>
  <c r="D14" i="11"/>
  <c r="O13" i="11"/>
  <c r="N13" i="11"/>
  <c r="M13" i="11"/>
  <c r="L13" i="11"/>
  <c r="K13" i="11"/>
  <c r="J13" i="11"/>
  <c r="I13" i="11"/>
  <c r="H13" i="11"/>
  <c r="G13" i="11"/>
  <c r="F13" i="11"/>
  <c r="E13" i="11"/>
  <c r="D13" i="11"/>
  <c r="O12" i="11"/>
  <c r="N12" i="11"/>
  <c r="M12" i="11"/>
  <c r="L12" i="11"/>
  <c r="K12" i="11"/>
  <c r="J12" i="11"/>
  <c r="I12" i="11"/>
  <c r="H12" i="11"/>
  <c r="G12" i="11"/>
  <c r="F12" i="11"/>
  <c r="E12" i="11"/>
  <c r="D12" i="11"/>
  <c r="O11" i="11"/>
  <c r="N11" i="11"/>
  <c r="M11" i="11"/>
  <c r="L11" i="11"/>
  <c r="K11" i="11"/>
  <c r="J11" i="11"/>
  <c r="I11" i="11"/>
  <c r="H11" i="11"/>
  <c r="G11" i="11"/>
  <c r="F11" i="11"/>
  <c r="E11" i="11"/>
  <c r="D11" i="11"/>
  <c r="O10" i="11"/>
  <c r="N10" i="11"/>
  <c r="M10" i="11"/>
  <c r="L10" i="11"/>
  <c r="K10" i="11"/>
  <c r="J10" i="11"/>
  <c r="I10" i="11"/>
  <c r="H10" i="11"/>
  <c r="G10" i="11"/>
  <c r="F10" i="11"/>
  <c r="E10" i="11"/>
  <c r="D10" i="11"/>
  <c r="O9" i="11"/>
  <c r="N9" i="11"/>
  <c r="M9" i="11"/>
  <c r="L9" i="11"/>
  <c r="K9" i="11"/>
  <c r="J9" i="11"/>
  <c r="I9" i="11"/>
  <c r="H9" i="11"/>
  <c r="G9" i="11"/>
  <c r="F9" i="11"/>
  <c r="E9" i="11"/>
  <c r="D9" i="11"/>
  <c r="O8" i="11"/>
  <c r="N8" i="11"/>
  <c r="M8" i="11"/>
  <c r="L8" i="11"/>
  <c r="K8" i="11"/>
  <c r="J8" i="11"/>
  <c r="I8" i="11"/>
  <c r="H8" i="11"/>
  <c r="G8" i="11"/>
  <c r="F8" i="11"/>
  <c r="E8" i="11"/>
  <c r="D8" i="11"/>
  <c r="O7" i="11"/>
  <c r="N7" i="11"/>
  <c r="M7" i="11"/>
  <c r="L7" i="11"/>
  <c r="K7" i="11"/>
  <c r="J7" i="11"/>
  <c r="I7" i="11"/>
  <c r="H7" i="11"/>
  <c r="G7" i="11"/>
  <c r="F7" i="11"/>
  <c r="E7" i="11"/>
  <c r="D7" i="11"/>
  <c r="O23" i="2"/>
  <c r="N23" i="2"/>
  <c r="M23" i="2"/>
  <c r="L23" i="2"/>
  <c r="K23" i="2"/>
  <c r="J23" i="2"/>
  <c r="I23" i="2"/>
  <c r="H23" i="2"/>
  <c r="G23" i="2"/>
  <c r="F23" i="2"/>
  <c r="E23" i="2"/>
  <c r="D23" i="2"/>
  <c r="N19" i="2"/>
  <c r="P8" i="11" l="1"/>
  <c r="P9" i="11"/>
  <c r="P10" i="11"/>
  <c r="P11" i="11"/>
  <c r="P12" i="11"/>
  <c r="P13" i="11"/>
  <c r="P14" i="11"/>
  <c r="P15" i="11"/>
  <c r="P16" i="11"/>
  <c r="P17" i="11"/>
  <c r="P18" i="11"/>
  <c r="N4" i="1"/>
  <c r="N3" i="1"/>
  <c r="F32" i="1"/>
  <c r="P26" i="2" l="1"/>
  <c r="C6" i="2" l="1"/>
  <c r="O19" i="2"/>
  <c r="M19" i="2"/>
  <c r="L19" i="2"/>
  <c r="K19" i="2"/>
  <c r="J19" i="2"/>
  <c r="I19" i="2"/>
  <c r="H19" i="2"/>
  <c r="G19" i="2"/>
  <c r="F19" i="2"/>
  <c r="E19" i="2"/>
  <c r="D19" i="2"/>
  <c r="O7" i="2" l="1"/>
  <c r="K7" i="2"/>
  <c r="G7" i="2"/>
  <c r="L7" i="2"/>
  <c r="H7" i="2"/>
  <c r="D7" i="2"/>
  <c r="N7" i="2"/>
  <c r="J7" i="2"/>
  <c r="F7" i="2"/>
  <c r="M7" i="2"/>
  <c r="I7" i="2"/>
  <c r="E7" i="2"/>
  <c r="P19" i="2"/>
  <c r="N9" i="1"/>
  <c r="Q9" i="1" s="1"/>
  <c r="R9" i="1" s="1"/>
  <c r="H9" i="5"/>
  <c r="N39" i="1"/>
  <c r="Q39" i="1" s="1"/>
  <c r="R39" i="1" s="1"/>
  <c r="N40" i="1" l="1"/>
  <c r="Q3" i="1"/>
  <c r="Q4" i="1"/>
  <c r="C16" i="2"/>
  <c r="C14" i="2"/>
  <c r="C12" i="2"/>
  <c r="C10" i="2"/>
  <c r="C8" i="2"/>
  <c r="O13" i="2" l="1"/>
  <c r="K13" i="2"/>
  <c r="G13" i="2"/>
  <c r="L13" i="2"/>
  <c r="N13" i="2"/>
  <c r="J13" i="2"/>
  <c r="F13" i="2"/>
  <c r="M13" i="2"/>
  <c r="I13" i="2"/>
  <c r="E13" i="2"/>
  <c r="H13" i="2"/>
  <c r="D13" i="2"/>
  <c r="O9" i="2"/>
  <c r="K9" i="2"/>
  <c r="G9" i="2"/>
  <c r="H9" i="2"/>
  <c r="N9" i="2"/>
  <c r="J9" i="2"/>
  <c r="F9" i="2"/>
  <c r="M9" i="2"/>
  <c r="I9" i="2"/>
  <c r="E9" i="2"/>
  <c r="L9" i="2"/>
  <c r="D9" i="2"/>
  <c r="O17" i="2"/>
  <c r="K17" i="2"/>
  <c r="G17" i="2"/>
  <c r="L17" i="2"/>
  <c r="N17" i="2"/>
  <c r="J17" i="2"/>
  <c r="F17" i="2"/>
  <c r="M17" i="2"/>
  <c r="I17" i="2"/>
  <c r="E17" i="2"/>
  <c r="H17" i="2"/>
  <c r="D17" i="2"/>
  <c r="O15" i="2"/>
  <c r="K15" i="2"/>
  <c r="G15" i="2"/>
  <c r="N15" i="2"/>
  <c r="J15" i="2"/>
  <c r="F15" i="2"/>
  <c r="M15" i="2"/>
  <c r="I15" i="2"/>
  <c r="E15" i="2"/>
  <c r="L15" i="2"/>
  <c r="H15" i="2"/>
  <c r="D15" i="2"/>
  <c r="O11" i="2"/>
  <c r="K11" i="2"/>
  <c r="G11" i="2"/>
  <c r="L11" i="2"/>
  <c r="D11" i="2"/>
  <c r="N11" i="2"/>
  <c r="J11" i="2"/>
  <c r="F11" i="2"/>
  <c r="M11" i="2"/>
  <c r="I11" i="2"/>
  <c r="E11" i="2"/>
  <c r="H11" i="2"/>
  <c r="Q40" i="1"/>
  <c r="N10" i="1"/>
  <c r="Q10" i="1" s="1"/>
  <c r="R10" i="1" s="1"/>
  <c r="N25" i="2" l="1"/>
  <c r="I25" i="2"/>
  <c r="H25" i="2"/>
  <c r="D25" i="2"/>
  <c r="N16" i="2"/>
  <c r="N14" i="2"/>
  <c r="N12" i="2"/>
  <c r="N10" i="2"/>
  <c r="N8" i="2"/>
  <c r="N6" i="2"/>
  <c r="J16" i="2"/>
  <c r="J14" i="2"/>
  <c r="J12" i="2"/>
  <c r="J10" i="2"/>
  <c r="J8" i="2"/>
  <c r="J6" i="2"/>
  <c r="H16" i="2"/>
  <c r="H14" i="2"/>
  <c r="H12" i="2"/>
  <c r="H10" i="2"/>
  <c r="H8" i="2"/>
  <c r="H6" i="2"/>
  <c r="G16" i="2"/>
  <c r="G14" i="2"/>
  <c r="G12" i="2"/>
  <c r="G10" i="2"/>
  <c r="G8" i="2"/>
  <c r="G6" i="2"/>
  <c r="I16" i="2"/>
  <c r="D16" i="2"/>
  <c r="I14" i="2"/>
  <c r="D14" i="2"/>
  <c r="I12" i="2"/>
  <c r="D12" i="2"/>
  <c r="I10" i="2"/>
  <c r="D10" i="2"/>
  <c r="I8" i="2"/>
  <c r="D8" i="2"/>
  <c r="I6" i="2"/>
  <c r="D6" i="2"/>
  <c r="I14" i="12"/>
  <c r="I17" i="12" s="1"/>
  <c r="B35" i="16"/>
  <c r="E7" i="16"/>
  <c r="E19" i="16"/>
  <c r="E23" i="16" s="1"/>
  <c r="H9" i="16"/>
  <c r="K23" i="16"/>
  <c r="K25" i="16" s="1"/>
  <c r="E12" i="16" s="1"/>
  <c r="B23" i="16"/>
  <c r="F23" i="16" l="1"/>
  <c r="G17" i="12"/>
  <c r="F21" i="16"/>
  <c r="F19" i="16"/>
  <c r="F11" i="16"/>
  <c r="F9" i="16"/>
  <c r="F7" i="16"/>
  <c r="E15" i="16"/>
  <c r="F35" i="16" s="1"/>
  <c r="B15" i="16"/>
  <c r="B25" i="16" s="1"/>
  <c r="H6" i="12" l="1"/>
  <c r="H10" i="12"/>
  <c r="H14" i="12"/>
  <c r="H13" i="12"/>
  <c r="H7" i="12"/>
  <c r="H11" i="12"/>
  <c r="H15" i="12"/>
  <c r="H8" i="12"/>
  <c r="H12" i="12"/>
  <c r="H4" i="12"/>
  <c r="H5" i="12"/>
  <c r="H9" i="12"/>
  <c r="F15" i="16"/>
  <c r="P4" i="12"/>
  <c r="P3" i="12"/>
  <c r="O16" i="2"/>
  <c r="M16" i="2"/>
  <c r="L16" i="2"/>
  <c r="K16" i="2"/>
  <c r="O14" i="2"/>
  <c r="M14" i="2"/>
  <c r="L14" i="2"/>
  <c r="K14" i="2"/>
  <c r="O12" i="2"/>
  <c r="M12" i="2"/>
  <c r="L12" i="2"/>
  <c r="K12" i="2"/>
  <c r="O10" i="2"/>
  <c r="M10" i="2"/>
  <c r="L10" i="2"/>
  <c r="K10" i="2"/>
  <c r="O8" i="2"/>
  <c r="M8" i="2"/>
  <c r="L8" i="2"/>
  <c r="K8" i="2"/>
  <c r="O6" i="2"/>
  <c r="M6" i="2"/>
  <c r="L6" i="2"/>
  <c r="K6" i="2"/>
  <c r="F16" i="2"/>
  <c r="F14" i="2"/>
  <c r="F12" i="2"/>
  <c r="F10" i="2"/>
  <c r="F8" i="2"/>
  <c r="F6" i="2"/>
  <c r="E16" i="2"/>
  <c r="E14" i="2"/>
  <c r="E12" i="2"/>
  <c r="E10" i="2"/>
  <c r="E8" i="2"/>
  <c r="E6" i="2"/>
  <c r="O25" i="2"/>
  <c r="M25" i="2"/>
  <c r="L25" i="2"/>
  <c r="K25" i="2"/>
  <c r="J25" i="2"/>
  <c r="G25" i="2"/>
  <c r="F25" i="2"/>
  <c r="E25" i="2"/>
  <c r="P24" i="2"/>
  <c r="P27" i="2"/>
  <c r="P20" i="2"/>
  <c r="O21" i="2"/>
  <c r="N21" i="2"/>
  <c r="M21" i="2"/>
  <c r="L21" i="2"/>
  <c r="K21" i="2"/>
  <c r="J21" i="2"/>
  <c r="I21" i="2"/>
  <c r="H21" i="2"/>
  <c r="G21" i="2"/>
  <c r="F21" i="2"/>
  <c r="E21" i="2"/>
  <c r="D21" i="2"/>
  <c r="N7" i="14"/>
  <c r="B23" i="14"/>
  <c r="B21" i="1" s="1"/>
  <c r="P23" i="14"/>
  <c r="M23" i="14"/>
  <c r="M21" i="1" s="1"/>
  <c r="L23" i="14"/>
  <c r="L21" i="1" s="1"/>
  <c r="K23" i="14"/>
  <c r="K21" i="1" s="1"/>
  <c r="J23" i="14"/>
  <c r="J21" i="1" s="1"/>
  <c r="I23" i="14"/>
  <c r="I21" i="1" s="1"/>
  <c r="H23" i="14"/>
  <c r="H21" i="1" s="1"/>
  <c r="G23" i="14"/>
  <c r="G21" i="1" s="1"/>
  <c r="F23" i="14"/>
  <c r="F21" i="1" s="1"/>
  <c r="E23" i="14"/>
  <c r="E21" i="1" s="1"/>
  <c r="D23" i="14"/>
  <c r="D21" i="1" s="1"/>
  <c r="C23" i="14"/>
  <c r="C21" i="1" s="1"/>
  <c r="N21" i="14"/>
  <c r="N20" i="14"/>
  <c r="N19" i="14"/>
  <c r="N18" i="14"/>
  <c r="N17" i="14"/>
  <c r="N16" i="14"/>
  <c r="N15" i="14"/>
  <c r="N14" i="14"/>
  <c r="N13" i="14"/>
  <c r="N12" i="14"/>
  <c r="N11" i="14"/>
  <c r="P3" i="14" s="1"/>
  <c r="N10" i="14"/>
  <c r="N9" i="14"/>
  <c r="N8" i="14"/>
  <c r="F17" i="12"/>
  <c r="D17" i="12"/>
  <c r="E12" i="12" s="1"/>
  <c r="J8" i="1" s="1"/>
  <c r="B17" i="12"/>
  <c r="C12" i="12" s="1"/>
  <c r="J7" i="1" s="1"/>
  <c r="I28" i="2" l="1"/>
  <c r="I30" i="2" s="1"/>
  <c r="G13" i="1" s="1"/>
  <c r="J28" i="2"/>
  <c r="J30" i="2" s="1"/>
  <c r="H13" i="1" s="1"/>
  <c r="N28" i="2"/>
  <c r="N30" i="2" s="1"/>
  <c r="M28" i="2"/>
  <c r="M30" i="2" s="1"/>
  <c r="K13" i="1" s="1"/>
  <c r="G28" i="2"/>
  <c r="G30" i="2" s="1"/>
  <c r="E13" i="1" s="1"/>
  <c r="E28" i="2"/>
  <c r="E30" i="2" s="1"/>
  <c r="C13" i="1" s="1"/>
  <c r="K28" i="2"/>
  <c r="K30" i="2"/>
  <c r="I13" i="1" s="1"/>
  <c r="O28" i="2"/>
  <c r="O30" i="2" s="1"/>
  <c r="M13" i="1" s="1"/>
  <c r="F28" i="2"/>
  <c r="F30" i="2" s="1"/>
  <c r="D13" i="1" s="1"/>
  <c r="D28" i="2"/>
  <c r="D30" i="2" s="1"/>
  <c r="H28" i="2"/>
  <c r="H30" i="2" s="1"/>
  <c r="L28" i="2"/>
  <c r="L30" i="2" s="1"/>
  <c r="J13" i="1" s="1"/>
  <c r="E15" i="12"/>
  <c r="M8" i="1" s="1"/>
  <c r="J12" i="12"/>
  <c r="J8" i="12"/>
  <c r="J4" i="12"/>
  <c r="J6" i="12"/>
  <c r="J9" i="12"/>
  <c r="J15" i="12"/>
  <c r="J11" i="12"/>
  <c r="J7" i="12"/>
  <c r="J10" i="12"/>
  <c r="J13" i="12"/>
  <c r="J5" i="12"/>
  <c r="J14" i="12"/>
  <c r="E4" i="12"/>
  <c r="B8" i="1" s="1"/>
  <c r="E8" i="12"/>
  <c r="F8" i="1" s="1"/>
  <c r="H17" i="12"/>
  <c r="N30" i="1"/>
  <c r="Q30" i="1" s="1"/>
  <c r="R30" i="1" s="1"/>
  <c r="C5" i="12"/>
  <c r="C7" i="1" s="1"/>
  <c r="C10" i="12"/>
  <c r="H7" i="1" s="1"/>
  <c r="E5" i="12"/>
  <c r="C8" i="1" s="1"/>
  <c r="E13" i="12"/>
  <c r="K8" i="1" s="1"/>
  <c r="C9" i="12"/>
  <c r="G7" i="1" s="1"/>
  <c r="C13" i="12"/>
  <c r="K7" i="1" s="1"/>
  <c r="C6" i="12"/>
  <c r="D7" i="1" s="1"/>
  <c r="C14" i="12"/>
  <c r="L7" i="1" s="1"/>
  <c r="E9" i="12"/>
  <c r="G8" i="1" s="1"/>
  <c r="L21" i="11"/>
  <c r="J14" i="1" s="1"/>
  <c r="C7" i="12"/>
  <c r="E7" i="1" s="1"/>
  <c r="C11" i="12"/>
  <c r="I7" i="1" s="1"/>
  <c r="C15" i="12"/>
  <c r="M7" i="1" s="1"/>
  <c r="E6" i="12"/>
  <c r="D8" i="1" s="1"/>
  <c r="E10" i="12"/>
  <c r="H8" i="1" s="1"/>
  <c r="E14" i="12"/>
  <c r="L8" i="1" s="1"/>
  <c r="C4" i="12"/>
  <c r="B7" i="1" s="1"/>
  <c r="C8" i="12"/>
  <c r="F7" i="1" s="1"/>
  <c r="E7" i="12"/>
  <c r="E8" i="1" s="1"/>
  <c r="E11" i="1" s="1"/>
  <c r="E11" i="12"/>
  <c r="I8" i="1" s="1"/>
  <c r="P11" i="2"/>
  <c r="P15" i="2"/>
  <c r="P7" i="2"/>
  <c r="P10" i="2"/>
  <c r="P16" i="2"/>
  <c r="P12" i="2"/>
  <c r="P8" i="2"/>
  <c r="P14" i="2"/>
  <c r="P13" i="2"/>
  <c r="P9" i="2"/>
  <c r="P6" i="2"/>
  <c r="P25" i="2"/>
  <c r="P21" i="2"/>
  <c r="P23" i="2"/>
  <c r="P22" i="2"/>
  <c r="N23" i="14"/>
  <c r="Q23" i="14" s="1"/>
  <c r="P23" i="8"/>
  <c r="M23" i="8"/>
  <c r="M27" i="1" s="1"/>
  <c r="L23" i="8"/>
  <c r="L27" i="1" s="1"/>
  <c r="K23" i="8"/>
  <c r="K27" i="1" s="1"/>
  <c r="J23" i="8"/>
  <c r="J27" i="1" s="1"/>
  <c r="I23" i="8"/>
  <c r="I27" i="1" s="1"/>
  <c r="H23" i="8"/>
  <c r="H27" i="1" s="1"/>
  <c r="G23" i="8"/>
  <c r="G27" i="1" s="1"/>
  <c r="F23" i="8"/>
  <c r="F27" i="1" s="1"/>
  <c r="E23" i="8"/>
  <c r="E27" i="1" s="1"/>
  <c r="D23" i="8"/>
  <c r="D27" i="1" s="1"/>
  <c r="C23" i="8"/>
  <c r="B23" i="8"/>
  <c r="B27" i="1" s="1"/>
  <c r="P23" i="7"/>
  <c r="M23" i="7"/>
  <c r="M26" i="1" s="1"/>
  <c r="L23" i="7"/>
  <c r="L26" i="1" s="1"/>
  <c r="K23" i="7"/>
  <c r="K26" i="1" s="1"/>
  <c r="J23" i="7"/>
  <c r="J26" i="1" s="1"/>
  <c r="I23" i="7"/>
  <c r="I26" i="1" s="1"/>
  <c r="H23" i="7"/>
  <c r="H26" i="1" s="1"/>
  <c r="G23" i="7"/>
  <c r="G26" i="1" s="1"/>
  <c r="F23" i="7"/>
  <c r="F26" i="1" s="1"/>
  <c r="E23" i="7"/>
  <c r="E26" i="1" s="1"/>
  <c r="D23" i="7"/>
  <c r="D26" i="1" s="1"/>
  <c r="C23" i="7"/>
  <c r="B23" i="7"/>
  <c r="B26" i="1" s="1"/>
  <c r="P23" i="6"/>
  <c r="M23" i="6"/>
  <c r="M24" i="1" s="1"/>
  <c r="L23" i="6"/>
  <c r="L24" i="1" s="1"/>
  <c r="K23" i="6"/>
  <c r="K24" i="1" s="1"/>
  <c r="J23" i="6"/>
  <c r="J24" i="1" s="1"/>
  <c r="I23" i="6"/>
  <c r="I24" i="1" s="1"/>
  <c r="H23" i="6"/>
  <c r="H24" i="1" s="1"/>
  <c r="G23" i="6"/>
  <c r="G24" i="1" s="1"/>
  <c r="F23" i="6"/>
  <c r="F24" i="1" s="1"/>
  <c r="E23" i="6"/>
  <c r="D23" i="6"/>
  <c r="D24" i="1" s="1"/>
  <c r="C23" i="6"/>
  <c r="C33" i="6" s="1"/>
  <c r="B23" i="6"/>
  <c r="B24" i="1" s="1"/>
  <c r="P23" i="5"/>
  <c r="M23" i="5"/>
  <c r="L23" i="5"/>
  <c r="L22" i="1" s="1"/>
  <c r="K23" i="5"/>
  <c r="K22" i="1" s="1"/>
  <c r="J23" i="5"/>
  <c r="J22" i="1" s="1"/>
  <c r="I23" i="5"/>
  <c r="I22" i="1" s="1"/>
  <c r="H23" i="5"/>
  <c r="H22" i="1" s="1"/>
  <c r="G23" i="5"/>
  <c r="G22" i="1" s="1"/>
  <c r="F23" i="5"/>
  <c r="F22" i="1" s="1"/>
  <c r="E23" i="5"/>
  <c r="E22" i="1" s="1"/>
  <c r="D23" i="5"/>
  <c r="D22" i="1" s="1"/>
  <c r="C23" i="5"/>
  <c r="C33" i="5" s="1"/>
  <c r="B23" i="5"/>
  <c r="B22" i="1" s="1"/>
  <c r="N21" i="8"/>
  <c r="N20" i="8"/>
  <c r="N19" i="8"/>
  <c r="N18" i="8"/>
  <c r="N17" i="8"/>
  <c r="N16" i="8"/>
  <c r="N15" i="8"/>
  <c r="N14" i="8"/>
  <c r="N13" i="8"/>
  <c r="N12" i="8"/>
  <c r="N11" i="8"/>
  <c r="P3" i="8" s="1"/>
  <c r="N10" i="8"/>
  <c r="N9" i="8"/>
  <c r="N8" i="8"/>
  <c r="N7" i="8"/>
  <c r="N21" i="7"/>
  <c r="N20" i="7"/>
  <c r="N19" i="7"/>
  <c r="N18" i="7"/>
  <c r="N17" i="7"/>
  <c r="N16" i="7"/>
  <c r="N15" i="7"/>
  <c r="N14" i="7"/>
  <c r="N13" i="7"/>
  <c r="N12" i="7"/>
  <c r="N11" i="7"/>
  <c r="P3" i="7" s="1"/>
  <c r="N10" i="7"/>
  <c r="N9" i="7"/>
  <c r="N8" i="7"/>
  <c r="N7" i="7"/>
  <c r="E24" i="1"/>
  <c r="M22" i="1"/>
  <c r="N21" i="6"/>
  <c r="N20" i="6"/>
  <c r="N19" i="6"/>
  <c r="N18" i="6"/>
  <c r="N17" i="6"/>
  <c r="N16" i="6"/>
  <c r="N15" i="6"/>
  <c r="N14" i="6"/>
  <c r="N13" i="6"/>
  <c r="N12" i="6"/>
  <c r="N11" i="6"/>
  <c r="N10" i="6"/>
  <c r="N9" i="6"/>
  <c r="N8" i="6"/>
  <c r="N7" i="6"/>
  <c r="N21" i="5"/>
  <c r="N20" i="5"/>
  <c r="N19" i="5"/>
  <c r="N18" i="5"/>
  <c r="N17" i="5"/>
  <c r="N16" i="5"/>
  <c r="N15" i="5"/>
  <c r="N14" i="5"/>
  <c r="N13" i="5"/>
  <c r="N11" i="5"/>
  <c r="P3" i="5" s="1"/>
  <c r="N10" i="5"/>
  <c r="N9" i="5"/>
  <c r="N8" i="5"/>
  <c r="N7" i="5"/>
  <c r="N38" i="1"/>
  <c r="N37" i="1"/>
  <c r="N36" i="1"/>
  <c r="Q36" i="1" s="1"/>
  <c r="R36" i="1" s="1"/>
  <c r="N35" i="1"/>
  <c r="Q35" i="1" s="1"/>
  <c r="R35" i="1" s="1"/>
  <c r="N32" i="1"/>
  <c r="Q32" i="1" s="1"/>
  <c r="R32" i="1" s="1"/>
  <c r="N29" i="1"/>
  <c r="Q29" i="1" s="1"/>
  <c r="R29" i="1" s="1"/>
  <c r="N25" i="1"/>
  <c r="Q25" i="1" s="1"/>
  <c r="R25" i="1" s="1"/>
  <c r="N23" i="1"/>
  <c r="Q23" i="1" s="1"/>
  <c r="R23" i="1" s="1"/>
  <c r="N21" i="1"/>
  <c r="Q21" i="1" s="1"/>
  <c r="R21" i="1" s="1"/>
  <c r="N19" i="1"/>
  <c r="Q19" i="1" s="1"/>
  <c r="R19" i="1" s="1"/>
  <c r="N18" i="1"/>
  <c r="Q18" i="1" s="1"/>
  <c r="R18" i="1" s="1"/>
  <c r="N17" i="1"/>
  <c r="Q17" i="1" s="1"/>
  <c r="R17" i="1" s="1"/>
  <c r="N16" i="1"/>
  <c r="Q16" i="1" s="1"/>
  <c r="R16" i="1" s="1"/>
  <c r="P41" i="1"/>
  <c r="P11" i="1"/>
  <c r="J11" i="1"/>
  <c r="H11" i="1" l="1"/>
  <c r="G11" i="1"/>
  <c r="K11" i="1"/>
  <c r="M11" i="1"/>
  <c r="F11" i="1"/>
  <c r="C11" i="1"/>
  <c r="B11" i="1"/>
  <c r="Q37" i="1"/>
  <c r="R37" i="1" s="1"/>
  <c r="Q38" i="1"/>
  <c r="E21" i="11"/>
  <c r="C14" i="1" s="1"/>
  <c r="M21" i="11"/>
  <c r="K14" i="1" s="1"/>
  <c r="K41" i="1" s="1"/>
  <c r="K43" i="1" s="1"/>
  <c r="G21" i="11"/>
  <c r="E14" i="1" s="1"/>
  <c r="E41" i="1" s="1"/>
  <c r="E43" i="1" s="1"/>
  <c r="D21" i="11"/>
  <c r="B14" i="1" s="1"/>
  <c r="B13" i="1"/>
  <c r="J17" i="12"/>
  <c r="N34" i="1"/>
  <c r="Q34" i="1" s="1"/>
  <c r="R34" i="1" s="1"/>
  <c r="N8" i="1"/>
  <c r="Q8" i="1" s="1"/>
  <c r="R8" i="1" s="1"/>
  <c r="L11" i="1"/>
  <c r="I21" i="11"/>
  <c r="G14" i="1" s="1"/>
  <c r="O21" i="11"/>
  <c r="M14" i="1" s="1"/>
  <c r="J21" i="11"/>
  <c r="H14" i="1" s="1"/>
  <c r="H41" i="1" s="1"/>
  <c r="H43" i="1" s="1"/>
  <c r="N21" i="11"/>
  <c r="L14" i="1" s="1"/>
  <c r="I11" i="1"/>
  <c r="C17" i="12"/>
  <c r="C33" i="12" s="1"/>
  <c r="N23" i="8"/>
  <c r="E17" i="12"/>
  <c r="D11" i="1"/>
  <c r="N33" i="1"/>
  <c r="Q33" i="1" s="1"/>
  <c r="R33" i="1" s="1"/>
  <c r="C22" i="1"/>
  <c r="C24" i="1"/>
  <c r="C26" i="1"/>
  <c r="N20" i="1"/>
  <c r="Q20" i="1" s="1"/>
  <c r="R20" i="1" s="1"/>
  <c r="C27" i="1"/>
  <c r="N27" i="1" s="1"/>
  <c r="Q27" i="1" s="1"/>
  <c r="R27" i="1" s="1"/>
  <c r="L13" i="1"/>
  <c r="N28" i="1"/>
  <c r="F13" i="1"/>
  <c r="H21" i="11"/>
  <c r="F14" i="1" s="1"/>
  <c r="F21" i="11"/>
  <c r="D14" i="1" s="1"/>
  <c r="D41" i="1" s="1"/>
  <c r="K21" i="11"/>
  <c r="I14" i="1" s="1"/>
  <c r="I41" i="1" s="1"/>
  <c r="P7" i="11"/>
  <c r="N23" i="7"/>
  <c r="N23" i="6"/>
  <c r="N23" i="5"/>
  <c r="J41" i="1"/>
  <c r="J43" i="1" s="1"/>
  <c r="P43" i="1"/>
  <c r="Q28" i="1" l="1"/>
  <c r="R28" i="1" s="1"/>
  <c r="B41" i="1"/>
  <c r="N31" i="1"/>
  <c r="N22" i="1"/>
  <c r="Q22" i="1" s="1"/>
  <c r="R22" i="1" s="1"/>
  <c r="G41" i="1"/>
  <c r="G43" i="1" s="1"/>
  <c r="N15" i="1"/>
  <c r="Q15" i="1" s="1"/>
  <c r="R15" i="1" s="1"/>
  <c r="M41" i="1"/>
  <c r="M43" i="1" s="1"/>
  <c r="N24" i="1"/>
  <c r="Q24" i="1" s="1"/>
  <c r="R24" i="1" s="1"/>
  <c r="C41" i="1"/>
  <c r="C43" i="1" s="1"/>
  <c r="N26" i="1"/>
  <c r="Q26" i="1" s="1"/>
  <c r="R26" i="1" s="1"/>
  <c r="L41" i="1"/>
  <c r="L43" i="1" s="1"/>
  <c r="I43" i="1"/>
  <c r="D43" i="1"/>
  <c r="N7" i="1"/>
  <c r="N13" i="1"/>
  <c r="P28" i="2"/>
  <c r="P30" i="2" s="1"/>
  <c r="F41" i="1"/>
  <c r="F43" i="1" s="1"/>
  <c r="N14" i="1"/>
  <c r="P21" i="11"/>
  <c r="Q31" i="1" l="1"/>
  <c r="R31" i="1" s="1"/>
  <c r="Q14" i="1"/>
  <c r="R14" i="1" s="1"/>
  <c r="Q13" i="1"/>
  <c r="R13" i="1" s="1"/>
  <c r="B43" i="1"/>
  <c r="Q7" i="1"/>
  <c r="R7" i="1" s="1"/>
  <c r="N11" i="1"/>
  <c r="N41" i="1"/>
  <c r="Q11" i="1" l="1"/>
  <c r="R11" i="1" s="1"/>
  <c r="N43" i="1"/>
</calcChain>
</file>

<file path=xl/sharedStrings.xml><?xml version="1.0" encoding="utf-8"?>
<sst xmlns="http://schemas.openxmlformats.org/spreadsheetml/2006/main" count="299" uniqueCount="150">
  <si>
    <t>Groom Creek Fire District</t>
  </si>
  <si>
    <t>Budget</t>
  </si>
  <si>
    <t>Real Property Tax</t>
  </si>
  <si>
    <t>Fire District Assistance Tax</t>
  </si>
  <si>
    <t>Total Revenue</t>
  </si>
  <si>
    <t>Aug</t>
  </si>
  <si>
    <t>Jul</t>
  </si>
  <si>
    <t>Sept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</si>
  <si>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</si>
  <si>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</si>
  <si>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</si>
  <si>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</si>
  <si>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</si>
  <si>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</si>
  <si>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</si>
  <si>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</si>
  <si>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</si>
  <si>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Total</t>
  </si>
  <si>
    <t>Payroll</t>
  </si>
  <si>
    <t>PSPRS</t>
  </si>
  <si>
    <t>Apparatus</t>
  </si>
  <si>
    <t>Fuel</t>
  </si>
  <si>
    <t>Equipment</t>
  </si>
  <si>
    <t>Structure Ops</t>
  </si>
  <si>
    <t>EMS</t>
  </si>
  <si>
    <t>Comms</t>
  </si>
  <si>
    <t>Training</t>
  </si>
  <si>
    <t>Misc. Ops</t>
  </si>
  <si>
    <t>Dues and Subscriptions</t>
  </si>
  <si>
    <t>Office Supplies</t>
  </si>
  <si>
    <t>Utilities</t>
  </si>
  <si>
    <t>Propane</t>
  </si>
  <si>
    <t>BCBS</t>
  </si>
  <si>
    <t>Workers Comp</t>
  </si>
  <si>
    <t>Health Savings Account</t>
  </si>
  <si>
    <t>Facilities</t>
  </si>
  <si>
    <t>Accounting</t>
  </si>
  <si>
    <t>Audit</t>
  </si>
  <si>
    <t>Uniforms</t>
  </si>
  <si>
    <t>Community Relations</t>
  </si>
  <si>
    <t>Total Expenses</t>
  </si>
  <si>
    <t>Net Income/Contingency</t>
  </si>
  <si>
    <t>FICA, Medicare</t>
  </si>
  <si>
    <t>Budget - Cash Basis</t>
  </si>
  <si>
    <t>July</t>
  </si>
  <si>
    <t>June</t>
  </si>
  <si>
    <t>FDAT</t>
  </si>
  <si>
    <t>Var $$</t>
  </si>
  <si>
    <t>VAR %</t>
  </si>
  <si>
    <t>FDAT federal subsidy for people who do not pay into the tax base</t>
  </si>
  <si>
    <t>Personal Protective Equip</t>
  </si>
  <si>
    <t>Communications</t>
  </si>
  <si>
    <t>Verizon Ipad</t>
  </si>
  <si>
    <t>Regional Dispatch Expense</t>
  </si>
  <si>
    <t>Costs passed on to us and we can't control</t>
  </si>
  <si>
    <t>Systems updates</t>
  </si>
  <si>
    <t>Thru City of Prescott</t>
  </si>
  <si>
    <t>In House Training - backfill</t>
  </si>
  <si>
    <t>AFDA Membership</t>
  </si>
  <si>
    <t>COSTCO</t>
  </si>
  <si>
    <t>Quickbooks</t>
  </si>
  <si>
    <t>AZ Fire Chief Assoc</t>
  </si>
  <si>
    <t>CLIEA - Field Urinalisis/sobriety</t>
  </si>
  <si>
    <t>NAEMS Dues - Northern AZ EMS Grants</t>
  </si>
  <si>
    <t>NFPA -National Fire Protection Assoc.</t>
  </si>
  <si>
    <t>Active 911 Inc.</t>
  </si>
  <si>
    <t>Electric</t>
  </si>
  <si>
    <t>Water</t>
  </si>
  <si>
    <t>Trash</t>
  </si>
  <si>
    <t>Life, Vision,Dental, Cancer</t>
  </si>
  <si>
    <t>Rate</t>
  </si>
  <si>
    <t>Service Fee</t>
  </si>
  <si>
    <t>Robert Tillman</t>
  </si>
  <si>
    <t>Gabby Mendez</t>
  </si>
  <si>
    <t>OT</t>
  </si>
  <si>
    <t>Internet/Phone</t>
  </si>
  <si>
    <t>Robert Tillman - Holiday</t>
  </si>
  <si>
    <t>Gabby Mendez-Holiday</t>
  </si>
  <si>
    <t xml:space="preserve">Chief Salary </t>
  </si>
  <si>
    <t>Difference</t>
  </si>
  <si>
    <t>Est of June Expenses</t>
  </si>
  <si>
    <t>Est of June Revenue</t>
  </si>
  <si>
    <t>Payroll Account Balance May 31,2021</t>
  </si>
  <si>
    <t>General Fund Balance May,31,2021</t>
  </si>
  <si>
    <t>Subtotal Balance Sheet</t>
  </si>
  <si>
    <t>Estimated Capital Reserve 6/30/2021</t>
  </si>
  <si>
    <t>Capital Reserve Estimate</t>
  </si>
  <si>
    <t>Cap Res. Balance sheet May 31,2021</t>
  </si>
  <si>
    <t>Cap Res. Balance sheet June 30,2021</t>
  </si>
  <si>
    <t>Payroll Account Balance June 30,2021</t>
  </si>
  <si>
    <t>General Fund Balance June 30,2021</t>
  </si>
  <si>
    <t>June Revenue</t>
  </si>
  <si>
    <t>June Expense</t>
  </si>
  <si>
    <t>Estimate</t>
  </si>
  <si>
    <t>Includes expense for off district fire vaccination xfer to payroll not paid until July 1 include in budget for 2021</t>
  </si>
  <si>
    <t>O/S checks wrote on 28th of June</t>
  </si>
  <si>
    <t>excludes payroll transfer which is paid 7/1/2021</t>
  </si>
  <si>
    <t xml:space="preserve">  Outstanding Check Estimate</t>
  </si>
  <si>
    <t>(1)</t>
  </si>
  <si>
    <t>Payroll of 26333.21+6000.00 imprest balance; small difference of 1,182.03 - Jackie confirmed 33,515.24</t>
  </si>
  <si>
    <t>(2)</t>
  </si>
  <si>
    <t>Subtotal Balance Sheet    (2)</t>
  </si>
  <si>
    <t>O/S checks Prior months</t>
  </si>
  <si>
    <t>Net Loss June</t>
  </si>
  <si>
    <t>Confirmed with County by chief</t>
  </si>
  <si>
    <t>14,365.70 off district fire vaccination received but not paid until 7/1/2021 - confirmed with Jackie</t>
  </si>
  <si>
    <t>Estimate of Outstanding checks not cleared by 6/30/2021</t>
  </si>
  <si>
    <t>Includes beg. Bal plus xfers made by chief for vaccine and donations plus 19,408.03 end of year xfer made by chief</t>
  </si>
  <si>
    <t>Annual FF Physicals</t>
  </si>
  <si>
    <t>Actual/Est before financials</t>
  </si>
  <si>
    <t>Actual 6/30/2021</t>
  </si>
  <si>
    <t xml:space="preserve"> to May Est</t>
  </si>
  <si>
    <t>Diff from June</t>
  </si>
  <si>
    <t>Est to Act June</t>
  </si>
  <si>
    <t>Max Fitzmorize</t>
  </si>
  <si>
    <t>Max Fitzmorize- Holiday</t>
  </si>
  <si>
    <t>Prop 207</t>
  </si>
  <si>
    <t>Verizon changed to new bill amount</t>
  </si>
  <si>
    <t>Capped at 5% increase for existing property so if property goes up 10% we only get 5%, new builds can increase the percentage</t>
  </si>
  <si>
    <t>Quarterly training backfill</t>
  </si>
  <si>
    <t>No cost for training only the backfill</t>
  </si>
  <si>
    <t>Wildland academy</t>
  </si>
  <si>
    <t>Microsoft 365</t>
  </si>
  <si>
    <t>Capital Improvement Fund</t>
  </si>
  <si>
    <t>software membership</t>
  </si>
  <si>
    <t>Robert Tillman Training for Paramedic</t>
  </si>
  <si>
    <t>Mathew Gordon</t>
  </si>
  <si>
    <t>Mathew Gordon - Holiday</t>
  </si>
  <si>
    <t>Training Person - David Latman</t>
  </si>
  <si>
    <t>AFDA Training- Board Members (3 person)</t>
  </si>
  <si>
    <t>Training Misc</t>
  </si>
  <si>
    <t>Wildland Fire</t>
  </si>
  <si>
    <t>Liability Insurance</t>
  </si>
  <si>
    <t>Assistant Chief - Nate Hollowell</t>
  </si>
  <si>
    <t>Stewart Cox</t>
  </si>
  <si>
    <t>Tier</t>
  </si>
  <si>
    <t>Add 5% to prior year</t>
  </si>
  <si>
    <t>RE Tax</t>
  </si>
  <si>
    <t>2022 RE Tax</t>
  </si>
  <si>
    <t>2023 RE Tax</t>
  </si>
  <si>
    <t>Russell Vaughn</t>
  </si>
  <si>
    <t>Russell Vaughn-Holiday</t>
  </si>
  <si>
    <t>Off District Backfill</t>
  </si>
  <si>
    <t>Reserve Firefighter 8 hours shift @ $20</t>
  </si>
  <si>
    <t># of Days</t>
  </si>
  <si>
    <t xml:space="preserve">Backfill for Vacation </t>
  </si>
  <si>
    <t>Payroll:</t>
  </si>
  <si>
    <t>PSPRS credits</t>
  </si>
  <si>
    <t>Paramedic Training Backfill</t>
  </si>
  <si>
    <t>New Engine Payment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</si>
</sst>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#,##0.0000_);\(#,##0.0000\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5">
    <xf numFmtId="0" fontId="0" fillId="0" borderId="0" xfId="0"/>
    <xf numFmtId="43" fontId="0" fillId="0" borderId="0" xfId="1" applyFont="1"/>
    <xf numFmtId="0" fontId="2" fillId="0" borderId="0" xfId="0" applyFont="1"/>
    <xf numFmtId="14" fontId="2" fillId="0" borderId="0" xfId="1" applyNumberFormat="1" applyFont="1" applyAlignment="1">
      <alignment horizontal="left"/>
    </xf>
    <xf numFmtId="164" fontId="0" fillId="0" borderId="0" xfId="1" applyNumberFormat="1" applyFont="1"/>
    <xf numFmtId="164" fontId="0" fillId="2" borderId="0" xfId="1" applyNumberFormat="1" applyFont="1" applyFill="1"/>
    <xf numFmtId="164" fontId="2" fillId="0" borderId="0" xfId="1" applyNumberFormat="1" applyFont="1" applyAlignment="1">
      <alignment horizontal="center"/>
    </xf>
    <xf numFmtId="164" fontId="2" fillId="2" borderId="0" xfId="1" applyNumberFormat="1" applyFont="1" applyFill="1" applyAlignment="1">
      <alignment horizontal="center"/>
    </xf>
    <xf numFmtId="0" fontId="0" fillId="2" borderId="0" xfId="0" applyFill="1"/>
    <xf numFmtId="164" fontId="0" fillId="0" borderId="1" xfId="1" applyNumberFormat="1" applyFont="1" applyBorder="1"/>
    <xf numFmtId="164" fontId="2" fillId="0" borderId="3" xfId="1" applyNumberFormat="1" applyFont="1" applyBorder="1" applyAlignment="1">
      <alignment horizontal="center"/>
    </xf>
    <xf numFmtId="165" fontId="0" fillId="0" borderId="0" xfId="2" applyNumberFormat="1" applyFont="1"/>
    <xf numFmtId="0" fontId="2" fillId="3" borderId="0" xfId="0" applyFont="1" applyFill="1"/>
    <xf numFmtId="10" fontId="0" fillId="0" borderId="0" xfId="2" applyNumberFormat="1" applyFont="1"/>
    <xf numFmtId="10" fontId="0" fillId="0" borderId="0" xfId="1" applyNumberFormat="1" applyFont="1"/>
    <xf numFmtId="164" fontId="1" fillId="0" borderId="0" xfId="1" applyNumberFormat="1" applyFont="1"/>
    <xf numFmtId="0" fontId="2" fillId="0" borderId="0" xfId="0" applyFont="1" applyAlignment="1">
      <alignment horizontal="center"/>
    </xf>
    <xf numFmtId="164" fontId="0" fillId="0" borderId="0" xfId="0" applyNumberFormat="1"/>
    <xf numFmtId="43" fontId="4" fillId="0" borderId="0" xfId="1" applyFont="1"/>
    <xf numFmtId="10" fontId="0" fillId="0" borderId="0" xfId="0" applyNumberFormat="1"/>
    <xf numFmtId="164" fontId="2" fillId="0" borderId="0" xfId="1" applyNumberFormat="1" applyFont="1"/>
    <xf numFmtId="43" fontId="2" fillId="0" borderId="0" xfId="1" applyFont="1"/>
    <xf numFmtId="43" fontId="0" fillId="0" borderId="1" xfId="1" applyFont="1" applyBorder="1"/>
    <xf numFmtId="43" fontId="0" fillId="0" borderId="2" xfId="1" applyFont="1" applyBorder="1"/>
    <xf numFmtId="43" fontId="0" fillId="0" borderId="0" xfId="0" applyNumberFormat="1"/>
    <xf numFmtId="0" fontId="2" fillId="2" borderId="0" xfId="0" applyFont="1" applyFill="1"/>
    <xf numFmtId="43" fontId="0" fillId="0" borderId="0" xfId="1" applyFont="1" applyBorder="1"/>
    <xf numFmtId="43" fontId="0" fillId="4" borderId="0" xfId="1" applyFont="1" applyFill="1"/>
    <xf numFmtId="0" fontId="0" fillId="0" borderId="0" xfId="0" quotePrefix="1"/>
    <xf numFmtId="0" fontId="0" fillId="0" borderId="0" xfId="0" quotePrefix="1" applyAlignment="1">
      <alignment horizontal="right"/>
    </xf>
    <xf numFmtId="14" fontId="0" fillId="0" borderId="0" xfId="0" applyNumberFormat="1"/>
    <xf numFmtId="43" fontId="0" fillId="4" borderId="2" xfId="1" applyFont="1" applyFill="1" applyBorder="1"/>
    <xf numFmtId="43" fontId="0" fillId="0" borderId="0" xfId="1" applyFont="1" applyFill="1"/>
    <xf numFmtId="0" fontId="0" fillId="5" borderId="0" xfId="0" applyFill="1"/>
    <xf numFmtId="43" fontId="0" fillId="5" borderId="0" xfId="1" applyFont="1" applyFill="1"/>
    <xf numFmtId="0" fontId="0" fillId="5" borderId="0" xfId="0" quotePrefix="1" applyFill="1" applyAlignment="1">
      <alignment horizontal="right"/>
    </xf>
    <xf numFmtId="43" fontId="0" fillId="5" borderId="2" xfId="1" applyFont="1" applyFill="1" applyBorder="1"/>
    <xf numFmtId="43" fontId="0" fillId="5" borderId="0" xfId="0" applyNumberFormat="1" applyFill="1"/>
    <xf numFmtId="14" fontId="5" fillId="0" borderId="0" xfId="1" applyNumberFormat="1" applyFont="1" applyAlignment="1">
      <alignment horizontal="center"/>
    </xf>
    <xf numFmtId="164" fontId="0" fillId="0" borderId="0" xfId="1" applyNumberFormat="1" applyFont="1" applyFill="1"/>
    <xf numFmtId="165" fontId="0" fillId="0" borderId="0" xfId="2" applyNumberFormat="1" applyFont="1" applyFill="1"/>
    <xf numFmtId="9" fontId="0" fillId="0" borderId="0" xfId="2" applyFont="1" applyFill="1" applyBorder="1"/>
    <xf numFmtId="0" fontId="6" fillId="3" borderId="0" xfId="0" applyFont="1" applyFill="1"/>
    <xf numFmtId="14" fontId="4" fillId="0" borderId="0" xfId="1" applyNumberFormat="1" applyFont="1" applyAlignment="1">
      <alignment horizontal="center"/>
    </xf>
    <xf numFmtId="43" fontId="1" fillId="0" borderId="0" xfId="1" applyFont="1"/>
    <xf numFmtId="37" fontId="0" fillId="0" borderId="0" xfId="0" applyNumberFormat="1"/>
    <xf numFmtId="37" fontId="0" fillId="0" borderId="0" xfId="0" applyNumberFormat="1" applyAlignment="1">
      <alignment horizontal="right"/>
    </xf>
    <xf numFmtId="37" fontId="0" fillId="0" borderId="0" xfId="1" applyNumberFormat="1" applyFont="1"/>
    <xf numFmtId="39" fontId="2" fillId="0" borderId="0" xfId="0" applyNumberFormat="1" applyFont="1"/>
    <xf numFmtId="39" fontId="2" fillId="0" borderId="0" xfId="1" applyNumberFormat="1" applyFont="1" applyAlignment="1">
      <alignment horizontal="left"/>
    </xf>
    <xf numFmtId="39" fontId="2" fillId="0" borderId="0" xfId="0" applyNumberFormat="1" applyFont="1" applyAlignment="1">
      <alignment horizontal="center"/>
    </xf>
    <xf numFmtId="39" fontId="0" fillId="0" borderId="0" xfId="1" applyNumberFormat="1" applyFont="1"/>
    <xf numFmtId="39" fontId="0" fillId="0" borderId="0" xfId="0" applyNumberFormat="1"/>
    <xf numFmtId="39" fontId="0" fillId="0" borderId="0" xfId="1" applyNumberFormat="1" applyFont="1" applyFill="1"/>
    <xf numFmtId="0" fontId="2" fillId="0" borderId="0" xfId="0" applyFont="1" applyAlignment="1">
      <alignment horizontal="right"/>
    </xf>
    <xf numFmtId="37" fontId="2" fillId="0" borderId="0" xfId="0" applyNumberFormat="1" applyFont="1"/>
    <xf numFmtId="166" fontId="2" fillId="0" borderId="0" xfId="0" applyNumberFormat="1" applyFont="1"/>
    <xf numFmtId="166" fontId="2" fillId="0" borderId="0" xfId="1" applyNumberFormat="1" applyFont="1" applyFill="1" applyAlignment="1">
      <alignment horizontal="left"/>
    </xf>
    <xf numFmtId="166" fontId="0" fillId="0" borderId="0" xfId="0" applyNumberFormat="1"/>
    <xf numFmtId="166" fontId="0" fillId="0" borderId="0" xfId="0" quotePrefix="1" applyNumberFormat="1"/>
    <xf numFmtId="165" fontId="0" fillId="0" borderId="0" xfId="2" applyNumberFormat="1" applyFont="1" applyFill="1" applyBorder="1"/>
    <xf numFmtId="43" fontId="0" fillId="0" borderId="0" xfId="1" applyFont="1" applyFill="1" applyBorder="1"/>
    <xf numFmtId="37" fontId="2" fillId="0" borderId="0" xfId="1" applyNumberFormat="1" applyFont="1" applyAlignment="1">
      <alignment horizontal="center"/>
    </xf>
    <xf numFmtId="37" fontId="1" fillId="0" borderId="0" xfId="1" applyNumberFormat="1" applyFont="1" applyAlignment="1">
      <alignment horizontal="center"/>
    </xf>
    <xf numFmtId="37" fontId="2" fillId="0" borderId="3" xfId="1" applyNumberFormat="1" applyFont="1" applyBorder="1" applyAlignment="1">
      <alignment horizontal="center"/>
    </xf>
    <xf numFmtId="37" fontId="0" fillId="3" borderId="0" xfId="1" applyNumberFormat="1" applyFont="1" applyFill="1" applyBorder="1"/>
    <xf numFmtId="37" fontId="0" fillId="0" borderId="0" xfId="1" applyNumberFormat="1" applyFont="1" applyFill="1"/>
    <xf numFmtId="37" fontId="0" fillId="0" borderId="0" xfId="1" applyNumberFormat="1" applyFont="1" applyFill="1" applyBorder="1"/>
    <xf numFmtId="37" fontId="3" fillId="3" borderId="0" xfId="1" applyNumberFormat="1" applyFont="1" applyFill="1"/>
    <xf numFmtId="37" fontId="0" fillId="3" borderId="0" xfId="1" applyNumberFormat="1" applyFont="1" applyFill="1"/>
    <xf numFmtId="37" fontId="0" fillId="0" borderId="0" xfId="1" quotePrefix="1" applyNumberFormat="1" applyFont="1" applyAlignment="1">
      <alignment horizontal="right"/>
    </xf>
    <xf numFmtId="37" fontId="2" fillId="0" borderId="0" xfId="1" applyNumberFormat="1" applyFont="1"/>
    <xf numFmtId="37" fontId="1" fillId="0" borderId="0" xfId="1" applyNumberFormat="1" applyFont="1"/>
    <xf numFmtId="37" fontId="2" fillId="0" borderId="1" xfId="1" applyNumberFormat="1" applyFont="1" applyBorder="1"/>
    <xf numFmtId="37" fontId="2" fillId="0" borderId="1" xfId="1" applyNumberFormat="1" applyFont="1" applyFill="1" applyBorder="1"/>
    <xf numFmtId="165" fontId="2" fillId="0" borderId="1" xfId="2" applyNumberFormat="1" applyFont="1" applyFill="1" applyBorder="1"/>
    <xf numFmtId="37" fontId="2" fillId="0" borderId="2" xfId="1" applyNumberFormat="1" applyFont="1" applyBorder="1"/>
    <xf numFmtId="37" fontId="6" fillId="0" borderId="0" xfId="1" applyNumberFormat="1" applyFont="1" applyFill="1"/>
    <xf numFmtId="37" fontId="2" fillId="6" borderId="0" xfId="1" applyNumberFormat="1" applyFont="1" applyFill="1" applyAlignment="1">
      <alignment horizontal="center"/>
    </xf>
    <xf numFmtId="37" fontId="0" fillId="6" borderId="0" xfId="1" applyNumberFormat="1" applyFont="1" applyFill="1"/>
    <xf numFmtId="37" fontId="0" fillId="6" borderId="0" xfId="1" applyNumberFormat="1" applyFont="1" applyFill="1" applyBorder="1"/>
    <xf numFmtId="37" fontId="2" fillId="6" borderId="0" xfId="1" applyNumberFormat="1" applyFont="1" applyFill="1"/>
    <xf numFmtId="37" fontId="1" fillId="6" borderId="0" xfId="1" applyNumberFormat="1" applyFont="1" applyFill="1"/>
    <xf numFmtId="37" fontId="1" fillId="0" borderId="0" xfId="1" applyNumberFormat="1" applyFont="1" applyFill="1" applyAlignment="1">
      <alignment horizontal="center"/>
    </xf>
    <xf numFmtId="37" fontId="0" fillId="0" borderId="0" xfId="0" applyNumberFormat="1" applyAlignment="1">
      <alignment horizontal="right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2ECE5-EB19-4942-BAF0-2BF7923527AB}">
  <sheetPr>
    <pageSetUpPr fitToPage="1"/>
  </sheetPr>
  <dimension ref="A1:AA442"/>
  <sheetViews>
    <sheetView tabSelected="1" topLeftCell="A19" zoomScaleNormal="100" workbookViewId="0">
      <selection activeCell="N40" sqref="N40"/>
    </sheetView>
  </sheetViews>
  <sheetFormatPr defaultRowHeight="15" x14ac:dyDescent="0.25"/>
  <cols>
    <col min="1" max="1" width="23.85546875" style="2" customWidth="1"/>
    <col min="2" max="2" width="9" style="47" bestFit="1" customWidth="1"/>
    <col min="3" max="3" width="10" style="47" bestFit="1" customWidth="1"/>
    <col min="4" max="4" width="9" style="47" bestFit="1" customWidth="1"/>
    <col min="5" max="5" width="10" style="47" bestFit="1" customWidth="1"/>
    <col min="6" max="13" width="9" style="47" bestFit="1" customWidth="1"/>
    <col min="14" max="14" width="9.85546875" style="47" bestFit="1" customWidth="1"/>
    <col min="15" max="15" width="1.7109375" style="79" customWidth="1"/>
    <col min="16" max="16" width="12" style="47" customWidth="1"/>
    <col min="17" max="17" width="10" style="47" bestFit="1" customWidth="1"/>
    <col min="18" max="18" width="8.140625" style="1" bestFit="1" customWidth="1"/>
    <col min="19" max="27" width="8.85546875" style="1"/>
  </cols>
  <sheetData>
    <row r="1" spans="1:27" x14ac:dyDescent="0.25">
      <c r="A1" s="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78"/>
      <c r="P1" s="62"/>
      <c r="R1" s="4"/>
    </row>
    <row r="2" spans="1:27" x14ac:dyDescent="0.25">
      <c r="A2" s="2" t="s">
        <v>43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78"/>
      <c r="P2" s="62"/>
      <c r="R2" s="4"/>
    </row>
    <row r="3" spans="1:27" x14ac:dyDescent="0.25">
      <c r="A3" s="3">
        <v>46203</v>
      </c>
      <c r="B3" s="62"/>
      <c r="C3" s="62"/>
      <c r="D3" s="62"/>
      <c r="E3" s="62"/>
      <c r="F3" s="62"/>
      <c r="G3" s="62"/>
      <c r="H3" s="62"/>
      <c r="I3" s="62"/>
      <c r="J3" s="62"/>
      <c r="K3" s="62" t="s">
        <v>136</v>
      </c>
      <c r="M3" s="62" t="s">
        <v>46</v>
      </c>
      <c r="N3" s="83">
        <f>P3+(P3*R3)</f>
        <v>142450.35</v>
      </c>
      <c r="O3" s="78"/>
      <c r="P3" s="63">
        <v>135667</v>
      </c>
      <c r="Q3" s="47">
        <f>+N3-P3</f>
        <v>6783.3500000000058</v>
      </c>
      <c r="R3" s="13">
        <v>0.05</v>
      </c>
    </row>
    <row r="4" spans="1:27" x14ac:dyDescent="0.25">
      <c r="A4" s="3"/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 t="s">
        <v>137</v>
      </c>
      <c r="N4" s="83">
        <f>P4+(P4*R4)</f>
        <v>806797.95</v>
      </c>
      <c r="O4" s="78"/>
      <c r="P4" s="63">
        <v>768379</v>
      </c>
      <c r="Q4" s="47">
        <f>+N4-P4</f>
        <v>38418.949999999953</v>
      </c>
      <c r="R4" s="13">
        <v>0.05</v>
      </c>
    </row>
    <row r="5" spans="1:27" x14ac:dyDescent="0.25">
      <c r="A5" s="3"/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78"/>
      <c r="P5" s="62">
        <v>2025</v>
      </c>
    </row>
    <row r="6" spans="1:27" x14ac:dyDescent="0.25">
      <c r="B6" s="64" t="s">
        <v>6</v>
      </c>
      <c r="C6" s="64" t="s">
        <v>5</v>
      </c>
      <c r="D6" s="64" t="s">
        <v>7</v>
      </c>
      <c r="E6" s="64" t="s">
        <v>8</v>
      </c>
      <c r="F6" s="64" t="s">
        <v>9</v>
      </c>
      <c r="G6" s="64" t="s">
        <v>10</v>
      </c>
      <c r="H6" s="64" t="s">
        <v>11</v>
      </c>
      <c r="I6" s="64" t="s">
        <v>12</v>
      </c>
      <c r="J6" s="64" t="s">
        <v>13</v>
      </c>
      <c r="K6" s="64" t="s">
        <v>14</v>
      </c>
      <c r="L6" s="64" t="s">
        <v>15</v>
      </c>
      <c r="M6" s="64" t="s">
        <v>16</v>
      </c>
      <c r="N6" s="64" t="s">
        <v>17</v>
      </c>
      <c r="O6" s="78"/>
      <c r="P6" s="64" t="s">
        <v>1</v>
      </c>
      <c r="Q6" s="64" t="s">
        <v>47</v>
      </c>
      <c r="R6" s="10" t="s">
        <v>48</v>
      </c>
    </row>
    <row r="7" spans="1:27" x14ac:dyDescent="0.25">
      <c r="A7" s="12" t="s">
        <v>2</v>
      </c>
      <c r="B7" s="65">
        <f>+'Rev Distribution'!C4*'Budget Rollup'!$N$4</f>
        <v>10345.766694406879</v>
      </c>
      <c r="C7" s="65">
        <f>+'Rev Distribution'!C5*'Budget Rollup'!$N$4</f>
        <v>775.33301778841144</v>
      </c>
      <c r="D7" s="65">
        <f>+'Rev Distribution'!C6*'Budget Rollup'!$N$4</f>
        <v>13501.718445507819</v>
      </c>
      <c r="E7" s="65">
        <f>+'Rev Distribution'!C7*'Budget Rollup'!$N$4</f>
        <v>334851.94275980437</v>
      </c>
      <c r="F7" s="65">
        <f>+'Rev Distribution'!C8*'Budget Rollup'!$N$4</f>
        <v>75341.853644370465</v>
      </c>
      <c r="G7" s="65">
        <f>+'Rev Distribution'!C9*'Budget Rollup'!$N$4</f>
        <v>84497.977065778978</v>
      </c>
      <c r="H7" s="65">
        <f>+'Rev Distribution'!C10*'Budget Rollup'!$N$4</f>
        <v>39376.792680051316</v>
      </c>
      <c r="I7" s="65">
        <f>+'Rev Distribution'!C11*'Budget Rollup'!$N$4</f>
        <v>14663.385784874648</v>
      </c>
      <c r="J7" s="65">
        <f>+'Rev Distribution'!C12*'Budget Rollup'!$N$4</f>
        <v>16572.410208398349</v>
      </c>
      <c r="K7" s="65">
        <f>+'Rev Distribution'!C13*'Budget Rollup'!$N$4</f>
        <v>182052.72201359269</v>
      </c>
      <c r="L7" s="65">
        <f>+'Rev Distribution'!C14*'Budget Rollup'!$N$4</f>
        <v>21798.581048233293</v>
      </c>
      <c r="M7" s="65">
        <f>+'Rev Distribution'!C15*'Budget Rollup'!$N$4</f>
        <v>13019.466637192689</v>
      </c>
      <c r="N7" s="66">
        <f t="shared" ref="N7:N10" si="0">SUM(B7:M7)</f>
        <v>806797.95</v>
      </c>
      <c r="P7" s="66">
        <v>768379</v>
      </c>
      <c r="Q7" s="66">
        <f>+N7-P7</f>
        <v>38418.949999999953</v>
      </c>
      <c r="R7" s="40">
        <f>+Q7/P7</f>
        <v>4.999999999999994E-2</v>
      </c>
      <c r="S7" s="32"/>
      <c r="T7" s="32"/>
      <c r="U7" s="32"/>
      <c r="V7" s="32"/>
      <c r="W7" s="32"/>
      <c r="X7" s="32"/>
      <c r="Y7" s="32"/>
      <c r="Z7" s="32"/>
      <c r="AA7" s="32"/>
    </row>
    <row r="8" spans="1:27" x14ac:dyDescent="0.25">
      <c r="A8" s="12" t="s">
        <v>3</v>
      </c>
      <c r="B8" s="65">
        <f>+'Rev Distribution'!E4*'Budget Rollup'!$N$3</f>
        <v>675.96766552009842</v>
      </c>
      <c r="C8" s="65">
        <f>+'Rev Distribution'!E5*'Budget Rollup'!$N$3</f>
        <v>201.47889854126393</v>
      </c>
      <c r="D8" s="65">
        <f>+'Rev Distribution'!E6*'Budget Rollup'!$N$3</f>
        <v>1776.3524190916169</v>
      </c>
      <c r="E8" s="65">
        <f>+'Rev Distribution'!E7*'Budget Rollup'!$N$3</f>
        <v>56130.352077631876</v>
      </c>
      <c r="F8" s="65">
        <f>+'Rev Distribution'!E8*'Budget Rollup'!$N$3</f>
        <v>19607.831031409278</v>
      </c>
      <c r="G8" s="65">
        <f>+'Rev Distribution'!E9*'Budget Rollup'!$N$3</f>
        <v>12583.489787591956</v>
      </c>
      <c r="H8" s="65">
        <f>+'Rev Distribution'!E10*'Budget Rollup'!$N$3</f>
        <v>5277.7933955158305</v>
      </c>
      <c r="I8" s="65">
        <f>+'Rev Distribution'!E11*'Budget Rollup'!$N$3</f>
        <v>2114.9323432674687</v>
      </c>
      <c r="J8" s="65">
        <f>+'Rev Distribution'!E12*'Budget Rollup'!$N$3</f>
        <v>3189.0890745436745</v>
      </c>
      <c r="K8" s="65">
        <f>+'Rev Distribution'!E13*'Budget Rollup'!$N$3</f>
        <v>33360.852176805849</v>
      </c>
      <c r="L8" s="65">
        <f>+'Rev Distribution'!E14*'Budget Rollup'!$N$3</f>
        <v>6233.9240264631308</v>
      </c>
      <c r="M8" s="65">
        <f>+'Rev Distribution'!E15*'Budget Rollup'!$N$3</f>
        <v>1298.2871036179667</v>
      </c>
      <c r="N8" s="67">
        <f t="shared" si="0"/>
        <v>142450.35</v>
      </c>
      <c r="O8" s="80"/>
      <c r="P8" s="67">
        <v>135667</v>
      </c>
      <c r="Q8" s="67">
        <f t="shared" ref="Q8:Q11" si="1">+N8-P8</f>
        <v>6783.3500000000058</v>
      </c>
      <c r="R8" s="60">
        <f t="shared" ref="R8:R11" si="2">+Q8/P8</f>
        <v>5.0000000000000044E-2</v>
      </c>
      <c r="S8" s="61"/>
      <c r="T8" s="61"/>
      <c r="U8" s="61"/>
      <c r="V8" s="61"/>
      <c r="W8" s="61"/>
      <c r="X8" s="61"/>
      <c r="Y8" s="61"/>
      <c r="Z8" s="61"/>
      <c r="AA8" s="61"/>
    </row>
    <row r="9" spans="1:27" x14ac:dyDescent="0.25">
      <c r="A9" s="2" t="s">
        <v>131</v>
      </c>
      <c r="B9" s="67"/>
      <c r="C9" s="67"/>
      <c r="D9" s="67"/>
      <c r="E9" s="67"/>
      <c r="F9" s="67">
        <v>20000</v>
      </c>
      <c r="G9" s="67"/>
      <c r="H9" s="67"/>
      <c r="I9" s="67"/>
      <c r="J9" s="67"/>
      <c r="K9" s="67"/>
      <c r="L9" s="67"/>
      <c r="M9" s="67"/>
      <c r="N9" s="66">
        <f t="shared" si="0"/>
        <v>20000</v>
      </c>
      <c r="P9" s="66">
        <v>35000</v>
      </c>
      <c r="Q9" s="66">
        <f t="shared" ref="Q9" si="3">+N9-P9</f>
        <v>-15000</v>
      </c>
      <c r="R9" s="40">
        <f t="shared" si="2"/>
        <v>-0.42857142857142855</v>
      </c>
      <c r="S9" s="32"/>
      <c r="T9" s="32"/>
      <c r="U9" s="32"/>
      <c r="V9" s="32"/>
      <c r="W9" s="32"/>
      <c r="X9" s="32"/>
      <c r="Y9" s="32"/>
      <c r="Z9" s="32"/>
      <c r="AA9" s="32"/>
    </row>
    <row r="10" spans="1:27" x14ac:dyDescent="0.25">
      <c r="A10" s="2" t="s">
        <v>116</v>
      </c>
      <c r="B10" s="66"/>
      <c r="C10" s="66"/>
      <c r="D10" s="66"/>
      <c r="E10" s="66"/>
      <c r="F10" s="66"/>
      <c r="G10" s="66">
        <v>9226</v>
      </c>
      <c r="H10" s="66"/>
      <c r="I10" s="66"/>
      <c r="J10" s="66"/>
      <c r="K10" s="66"/>
      <c r="L10" s="66"/>
      <c r="M10" s="66">
        <v>12000</v>
      </c>
      <c r="N10" s="66">
        <f t="shared" si="0"/>
        <v>21226</v>
      </c>
      <c r="P10" s="66">
        <v>21226</v>
      </c>
      <c r="Q10" s="66">
        <f t="shared" ref="Q10" si="4">+N10-P10</f>
        <v>0</v>
      </c>
      <c r="R10" s="40">
        <f t="shared" ref="R10" si="5">+Q10/P10</f>
        <v>0</v>
      </c>
      <c r="S10" s="32"/>
      <c r="T10" s="32"/>
      <c r="U10" s="32"/>
      <c r="V10" s="32"/>
      <c r="W10" s="32"/>
      <c r="X10" s="32"/>
      <c r="Y10" s="32"/>
      <c r="Z10" s="32"/>
      <c r="AA10" s="32"/>
    </row>
    <row r="11" spans="1:27" s="2" customFormat="1" x14ac:dyDescent="0.25">
      <c r="A11" s="2" t="s">
        <v>4</v>
      </c>
      <c r="B11" s="73">
        <f t="shared" ref="B11:N11" si="6">SUM(B7:B10)</f>
        <v>11021.734359926977</v>
      </c>
      <c r="C11" s="73">
        <f t="shared" si="6"/>
        <v>976.81191632967534</v>
      </c>
      <c r="D11" s="73">
        <f t="shared" si="6"/>
        <v>15278.070864599435</v>
      </c>
      <c r="E11" s="73">
        <f t="shared" si="6"/>
        <v>390982.29483743623</v>
      </c>
      <c r="F11" s="73">
        <f t="shared" si="6"/>
        <v>114949.68467577975</v>
      </c>
      <c r="G11" s="73">
        <f t="shared" si="6"/>
        <v>106307.46685337093</v>
      </c>
      <c r="H11" s="73">
        <f t="shared" si="6"/>
        <v>44654.586075567146</v>
      </c>
      <c r="I11" s="73">
        <f t="shared" si="6"/>
        <v>16778.318128142117</v>
      </c>
      <c r="J11" s="73">
        <f t="shared" si="6"/>
        <v>19761.499282942023</v>
      </c>
      <c r="K11" s="73">
        <f t="shared" si="6"/>
        <v>215413.57419039853</v>
      </c>
      <c r="L11" s="73">
        <f t="shared" si="6"/>
        <v>28032.505074696423</v>
      </c>
      <c r="M11" s="73">
        <f t="shared" si="6"/>
        <v>26317.753740810655</v>
      </c>
      <c r="N11" s="74">
        <f t="shared" si="6"/>
        <v>990474.29999999993</v>
      </c>
      <c r="O11" s="81"/>
      <c r="P11" s="74">
        <f>SUM(P7:P10)</f>
        <v>960272</v>
      </c>
      <c r="Q11" s="74">
        <f t="shared" si="1"/>
        <v>30202.29999999993</v>
      </c>
      <c r="R11" s="75">
        <f t="shared" si="2"/>
        <v>3.1451817818284745E-2</v>
      </c>
      <c r="S11" s="21"/>
      <c r="T11" s="21"/>
      <c r="U11" s="21"/>
      <c r="V11" s="21"/>
      <c r="W11" s="21"/>
      <c r="X11" s="21"/>
      <c r="Y11" s="21"/>
      <c r="Z11" s="21"/>
      <c r="AA11" s="21"/>
    </row>
    <row r="12" spans="1:27" x14ac:dyDescent="0.25">
      <c r="R12" s="4"/>
    </row>
    <row r="13" spans="1:27" x14ac:dyDescent="0.25">
      <c r="A13" s="42" t="s">
        <v>18</v>
      </c>
      <c r="B13" s="68">
        <f>+Payroll!D30</f>
        <v>49621.360500000003</v>
      </c>
      <c r="C13" s="68">
        <f>+Payroll!E30</f>
        <v>49621.360500000003</v>
      </c>
      <c r="D13" s="68">
        <f>+Payroll!F30</f>
        <v>64621.360500000003</v>
      </c>
      <c r="E13" s="68">
        <f>+Payroll!G30</f>
        <v>49621.360500000003</v>
      </c>
      <c r="F13" s="68">
        <f>+Payroll!H30</f>
        <v>67188.810499999992</v>
      </c>
      <c r="G13" s="68">
        <f>+Payroll!I30</f>
        <v>49621.360500000003</v>
      </c>
      <c r="H13" s="68">
        <f>+Payroll!J30</f>
        <v>49621.360500000003</v>
      </c>
      <c r="I13" s="68">
        <f>+Payroll!K30</f>
        <v>49621.360500000003</v>
      </c>
      <c r="J13" s="68">
        <f>+Payroll!L30</f>
        <v>49621.360500000003</v>
      </c>
      <c r="K13" s="68">
        <f>+Payroll!M30</f>
        <v>49621.360500000003</v>
      </c>
      <c r="L13" s="68">
        <f>+Payroll!N30</f>
        <v>67250.916269230773</v>
      </c>
      <c r="M13" s="68">
        <f>+Payroll!O30</f>
        <v>49621.360500000003</v>
      </c>
      <c r="N13" s="66">
        <f>SUM(B13:M13)</f>
        <v>645653.33176923078</v>
      </c>
      <c r="P13" s="66">
        <v>615828</v>
      </c>
      <c r="Q13" s="66">
        <f t="shared" ref="Q13:Q40" si="7">+N13-P13</f>
        <v>29825.331769230776</v>
      </c>
      <c r="R13" s="40">
        <f t="shared" ref="R13:R39" si="8">+Q13/P13</f>
        <v>4.8431269395400621E-2</v>
      </c>
      <c r="S13" s="32"/>
      <c r="T13" s="32"/>
      <c r="U13" s="32"/>
      <c r="V13" s="32"/>
      <c r="W13" s="32"/>
      <c r="X13" s="32"/>
      <c r="Y13" s="32"/>
      <c r="Z13" s="32"/>
      <c r="AA13" s="32"/>
    </row>
    <row r="14" spans="1:27" x14ac:dyDescent="0.25">
      <c r="A14" s="12" t="s">
        <v>19</v>
      </c>
      <c r="B14" s="69">
        <f>+PSPRS!D21</f>
        <v>2581.6560000000004</v>
      </c>
      <c r="C14" s="69">
        <f>+PSPRS!E21</f>
        <v>2581.6560000000004</v>
      </c>
      <c r="D14" s="69">
        <f>+PSPRS!F21</f>
        <v>2581.6560000000004</v>
      </c>
      <c r="E14" s="69">
        <f>+PSPRS!G21</f>
        <v>2581.6560000000004</v>
      </c>
      <c r="F14" s="69">
        <f>+PSPRS!H21</f>
        <v>3808.4759999999997</v>
      </c>
      <c r="G14" s="69">
        <f>+PSPRS!I21</f>
        <v>2581.6560000000004</v>
      </c>
      <c r="H14" s="69">
        <f>+PSPRS!J21</f>
        <v>2581.6560000000004</v>
      </c>
      <c r="I14" s="69">
        <f>+PSPRS!K21</f>
        <v>2581.6560000000004</v>
      </c>
      <c r="J14" s="69">
        <f>+PSPRS!L21</f>
        <v>2581.6560000000004</v>
      </c>
      <c r="K14" s="69">
        <f>+PSPRS!M21</f>
        <v>2581.6560000000004</v>
      </c>
      <c r="L14" s="69">
        <f>+PSPRS!N21</f>
        <v>3808.4759999999997</v>
      </c>
      <c r="M14" s="69">
        <f>+PSPRS!O21</f>
        <v>2581.6560000000004</v>
      </c>
      <c r="N14" s="47">
        <f t="shared" ref="N14:N40" si="9">SUM(B14:M14)</f>
        <v>33433.511999999995</v>
      </c>
      <c r="P14" s="47">
        <v>23471</v>
      </c>
      <c r="Q14" s="47">
        <f t="shared" si="7"/>
        <v>9962.5119999999952</v>
      </c>
      <c r="R14" s="11">
        <f t="shared" si="8"/>
        <v>0.4244604831494182</v>
      </c>
    </row>
    <row r="15" spans="1:27" x14ac:dyDescent="0.25">
      <c r="A15" s="12" t="s">
        <v>20</v>
      </c>
      <c r="B15" s="69">
        <v>1083</v>
      </c>
      <c r="C15" s="69">
        <v>1083</v>
      </c>
      <c r="D15" s="69">
        <v>1083</v>
      </c>
      <c r="E15" s="69">
        <v>1083</v>
      </c>
      <c r="F15" s="69">
        <v>1083</v>
      </c>
      <c r="G15" s="69">
        <v>1083</v>
      </c>
      <c r="H15" s="69">
        <v>1083</v>
      </c>
      <c r="I15" s="69">
        <v>1083</v>
      </c>
      <c r="J15" s="69">
        <v>1084</v>
      </c>
      <c r="K15" s="69">
        <v>1084</v>
      </c>
      <c r="L15" s="69">
        <v>1084</v>
      </c>
      <c r="M15" s="69">
        <v>1084</v>
      </c>
      <c r="N15" s="47">
        <f t="shared" si="9"/>
        <v>13000</v>
      </c>
      <c r="P15" s="47">
        <v>12000</v>
      </c>
      <c r="Q15" s="47">
        <f t="shared" si="7"/>
        <v>1000</v>
      </c>
      <c r="R15" s="11">
        <f t="shared" si="8"/>
        <v>8.3333333333333329E-2</v>
      </c>
    </row>
    <row r="16" spans="1:27" x14ac:dyDescent="0.25">
      <c r="A16" s="2" t="s">
        <v>21</v>
      </c>
      <c r="B16" s="47">
        <v>420</v>
      </c>
      <c r="C16" s="47">
        <v>420</v>
      </c>
      <c r="D16" s="47">
        <v>420</v>
      </c>
      <c r="E16" s="47">
        <v>420</v>
      </c>
      <c r="F16" s="47">
        <v>420</v>
      </c>
      <c r="G16" s="47">
        <v>420</v>
      </c>
      <c r="H16" s="47">
        <v>420</v>
      </c>
      <c r="I16" s="47">
        <v>420</v>
      </c>
      <c r="J16" s="47">
        <v>420</v>
      </c>
      <c r="K16" s="47">
        <v>420</v>
      </c>
      <c r="L16" s="47">
        <v>420</v>
      </c>
      <c r="M16" s="47">
        <v>420</v>
      </c>
      <c r="N16" s="47">
        <f t="shared" si="9"/>
        <v>5040</v>
      </c>
      <c r="P16" s="47">
        <v>4800</v>
      </c>
      <c r="Q16" s="47">
        <f t="shared" si="7"/>
        <v>240</v>
      </c>
      <c r="R16" s="11">
        <f t="shared" si="8"/>
        <v>0.05</v>
      </c>
    </row>
    <row r="17" spans="1:27" x14ac:dyDescent="0.25">
      <c r="A17" s="2" t="s">
        <v>22</v>
      </c>
      <c r="B17" s="47">
        <v>158.33333333333334</v>
      </c>
      <c r="C17" s="47">
        <v>158.33333333333334</v>
      </c>
      <c r="D17" s="47">
        <v>158.33333333333334</v>
      </c>
      <c r="E17" s="47">
        <v>158.33333333333334</v>
      </c>
      <c r="F17" s="47">
        <v>158.33333333333334</v>
      </c>
      <c r="G17" s="47">
        <v>158.33333333333334</v>
      </c>
      <c r="H17" s="47">
        <v>158.33333333333334</v>
      </c>
      <c r="I17" s="47">
        <v>158.33333333333334</v>
      </c>
      <c r="J17" s="47">
        <v>158.33333333333334</v>
      </c>
      <c r="K17" s="47">
        <v>158.33333333333334</v>
      </c>
      <c r="L17" s="47">
        <v>158.33333333333334</v>
      </c>
      <c r="M17" s="47">
        <v>158.33333333333334</v>
      </c>
      <c r="N17" s="47">
        <f t="shared" si="9"/>
        <v>1899.9999999999998</v>
      </c>
      <c r="P17" s="47">
        <v>1900</v>
      </c>
      <c r="Q17" s="47">
        <f t="shared" si="7"/>
        <v>0</v>
      </c>
      <c r="R17" s="11">
        <f t="shared" si="8"/>
        <v>0</v>
      </c>
    </row>
    <row r="18" spans="1:27" x14ac:dyDescent="0.25">
      <c r="A18" s="2" t="s">
        <v>23</v>
      </c>
      <c r="B18" s="47">
        <v>50</v>
      </c>
      <c r="C18" s="47">
        <v>50</v>
      </c>
      <c r="D18" s="47">
        <v>50</v>
      </c>
      <c r="E18" s="47">
        <v>50</v>
      </c>
      <c r="F18" s="47">
        <v>50</v>
      </c>
      <c r="G18" s="47">
        <v>50</v>
      </c>
      <c r="H18" s="47">
        <v>50</v>
      </c>
      <c r="I18" s="47">
        <v>50</v>
      </c>
      <c r="J18" s="47">
        <v>50</v>
      </c>
      <c r="K18" s="47">
        <v>50</v>
      </c>
      <c r="L18" s="47">
        <v>50</v>
      </c>
      <c r="M18" s="47">
        <v>50</v>
      </c>
      <c r="N18" s="47">
        <f t="shared" si="9"/>
        <v>600</v>
      </c>
      <c r="P18" s="47">
        <v>500</v>
      </c>
      <c r="Q18" s="47">
        <f t="shared" si="7"/>
        <v>100</v>
      </c>
      <c r="R18" s="11">
        <f t="shared" si="8"/>
        <v>0.2</v>
      </c>
    </row>
    <row r="19" spans="1:27" x14ac:dyDescent="0.25">
      <c r="A19" s="2" t="s">
        <v>24</v>
      </c>
      <c r="B19" s="47">
        <v>125</v>
      </c>
      <c r="C19" s="47">
        <v>125</v>
      </c>
      <c r="D19" s="47">
        <v>125</v>
      </c>
      <c r="E19" s="47">
        <v>125</v>
      </c>
      <c r="F19" s="47">
        <v>125</v>
      </c>
      <c r="G19" s="47">
        <v>125</v>
      </c>
      <c r="H19" s="47">
        <v>125</v>
      </c>
      <c r="I19" s="47">
        <v>125</v>
      </c>
      <c r="J19" s="47">
        <v>125</v>
      </c>
      <c r="K19" s="47">
        <v>125</v>
      </c>
      <c r="L19" s="47">
        <v>125</v>
      </c>
      <c r="M19" s="47">
        <v>125</v>
      </c>
      <c r="N19" s="47">
        <f t="shared" si="9"/>
        <v>1500</v>
      </c>
      <c r="P19" s="47">
        <v>1500</v>
      </c>
      <c r="Q19" s="47">
        <f t="shared" si="7"/>
        <v>0</v>
      </c>
      <c r="R19" s="11">
        <f t="shared" si="8"/>
        <v>0</v>
      </c>
    </row>
    <row r="20" spans="1:27" x14ac:dyDescent="0.25">
      <c r="A20" s="2" t="s">
        <v>50</v>
      </c>
      <c r="B20" s="66">
        <v>0</v>
      </c>
      <c r="C20" s="66">
        <v>0</v>
      </c>
      <c r="D20" s="66">
        <v>0</v>
      </c>
      <c r="E20" s="66">
        <v>0</v>
      </c>
      <c r="F20" s="66">
        <v>7500</v>
      </c>
      <c r="G20" s="66">
        <v>0</v>
      </c>
      <c r="H20" s="66">
        <v>0</v>
      </c>
      <c r="I20" s="66">
        <v>0</v>
      </c>
      <c r="J20" s="66">
        <v>0</v>
      </c>
      <c r="K20" s="66">
        <v>0</v>
      </c>
      <c r="L20" s="66">
        <v>0</v>
      </c>
      <c r="M20" s="66">
        <v>0</v>
      </c>
      <c r="N20" s="66">
        <f t="shared" si="9"/>
        <v>7500</v>
      </c>
      <c r="P20" s="66">
        <v>7500</v>
      </c>
      <c r="Q20" s="66">
        <f t="shared" si="7"/>
        <v>0</v>
      </c>
      <c r="R20" s="40">
        <f t="shared" si="8"/>
        <v>0</v>
      </c>
      <c r="S20" s="32"/>
      <c r="T20" s="32"/>
      <c r="U20" s="32"/>
      <c r="V20" s="32"/>
      <c r="W20" s="32"/>
      <c r="X20" s="32"/>
      <c r="Y20" s="32"/>
      <c r="Z20" s="32"/>
      <c r="AA20" s="32"/>
    </row>
    <row r="21" spans="1:27" x14ac:dyDescent="0.25">
      <c r="A21" s="12" t="s">
        <v>25</v>
      </c>
      <c r="B21" s="69">
        <f>+Comm!B23</f>
        <v>865</v>
      </c>
      <c r="C21" s="69">
        <f>+Comm!C23</f>
        <v>865</v>
      </c>
      <c r="D21" s="69">
        <f>+Comm!D23</f>
        <v>865</v>
      </c>
      <c r="E21" s="69">
        <f>+Comm!E23</f>
        <v>865</v>
      </c>
      <c r="F21" s="69">
        <f>+Comm!F23</f>
        <v>865</v>
      </c>
      <c r="G21" s="69">
        <f>+Comm!G23</f>
        <v>865</v>
      </c>
      <c r="H21" s="69">
        <f>+Comm!H23</f>
        <v>1150</v>
      </c>
      <c r="I21" s="69">
        <f>+Comm!I23</f>
        <v>865</v>
      </c>
      <c r="J21" s="69">
        <f>+Comm!J23</f>
        <v>865</v>
      </c>
      <c r="K21" s="69">
        <f>+Comm!K23</f>
        <v>865</v>
      </c>
      <c r="L21" s="69">
        <f>+Comm!L23</f>
        <v>865</v>
      </c>
      <c r="M21" s="69">
        <f>+Comm!M23</f>
        <v>865</v>
      </c>
      <c r="N21" s="47">
        <f t="shared" si="9"/>
        <v>10665</v>
      </c>
      <c r="P21" s="47">
        <v>10665</v>
      </c>
      <c r="Q21" s="47">
        <f t="shared" si="7"/>
        <v>0</v>
      </c>
      <c r="R21" s="11">
        <f t="shared" si="8"/>
        <v>0</v>
      </c>
    </row>
    <row r="22" spans="1:27" x14ac:dyDescent="0.25">
      <c r="A22" s="12" t="s">
        <v>26</v>
      </c>
      <c r="B22" s="69">
        <f>+Training!B23</f>
        <v>250</v>
      </c>
      <c r="C22" s="69">
        <f>+Training!C23</f>
        <v>1050</v>
      </c>
      <c r="D22" s="69">
        <f>+Training!D23</f>
        <v>1050</v>
      </c>
      <c r="E22" s="69">
        <f>+Training!E23</f>
        <v>1050</v>
      </c>
      <c r="F22" s="69">
        <f>+Training!F23</f>
        <v>2050</v>
      </c>
      <c r="G22" s="69">
        <f>+Training!G23</f>
        <v>1050</v>
      </c>
      <c r="H22" s="69">
        <f>+Training!H23</f>
        <v>2400</v>
      </c>
      <c r="I22" s="69">
        <f>+Training!I23</f>
        <v>1050</v>
      </c>
      <c r="J22" s="69">
        <f>+Training!J23</f>
        <v>2400</v>
      </c>
      <c r="K22" s="69">
        <f>+Training!K23</f>
        <v>1050</v>
      </c>
      <c r="L22" s="69">
        <f>+Training!L23</f>
        <v>1050</v>
      </c>
      <c r="M22" s="69">
        <f>+Training!M23</f>
        <v>250</v>
      </c>
      <c r="N22" s="47">
        <f t="shared" si="9"/>
        <v>14700</v>
      </c>
      <c r="P22" s="47">
        <v>6525</v>
      </c>
      <c r="Q22" s="47">
        <f t="shared" si="7"/>
        <v>8175</v>
      </c>
      <c r="R22" s="11">
        <f t="shared" si="8"/>
        <v>1.2528735632183907</v>
      </c>
    </row>
    <row r="23" spans="1:27" x14ac:dyDescent="0.25">
      <c r="A23" s="2" t="s">
        <v>27</v>
      </c>
      <c r="B23" s="47">
        <v>108.33333333333333</v>
      </c>
      <c r="C23" s="47">
        <v>108.33333333333333</v>
      </c>
      <c r="D23" s="47">
        <v>108.33333333333333</v>
      </c>
      <c r="E23" s="47">
        <v>108.33333333333333</v>
      </c>
      <c r="F23" s="47">
        <v>108.33333333333333</v>
      </c>
      <c r="G23" s="47">
        <v>108.33333333333333</v>
      </c>
      <c r="H23" s="47">
        <v>108.33333333333333</v>
      </c>
      <c r="I23" s="47">
        <v>108.33333333333333</v>
      </c>
      <c r="J23" s="47">
        <v>108.33333333333333</v>
      </c>
      <c r="K23" s="47">
        <v>108.33333333333333</v>
      </c>
      <c r="L23" s="47">
        <v>108.33333333333333</v>
      </c>
      <c r="M23" s="47">
        <v>108.33333333333333</v>
      </c>
      <c r="N23" s="47">
        <f t="shared" si="9"/>
        <v>1300</v>
      </c>
      <c r="P23" s="47">
        <v>1300</v>
      </c>
      <c r="Q23" s="47">
        <f t="shared" si="7"/>
        <v>0</v>
      </c>
      <c r="R23" s="11">
        <f t="shared" si="8"/>
        <v>0</v>
      </c>
    </row>
    <row r="24" spans="1:27" x14ac:dyDescent="0.25">
      <c r="A24" s="12" t="s">
        <v>28</v>
      </c>
      <c r="B24" s="69">
        <f>+Dues!B23</f>
        <v>0</v>
      </c>
      <c r="C24" s="69">
        <f>+Dues!C23</f>
        <v>0</v>
      </c>
      <c r="D24" s="69">
        <f>+Dues!D23</f>
        <v>0</v>
      </c>
      <c r="E24" s="69">
        <f>+Dues!E23</f>
        <v>175</v>
      </c>
      <c r="F24" s="69">
        <f>+Dues!F23</f>
        <v>0</v>
      </c>
      <c r="G24" s="69">
        <f>+Dues!G23</f>
        <v>0</v>
      </c>
      <c r="H24" s="69">
        <f>+Dues!H23</f>
        <v>150</v>
      </c>
      <c r="I24" s="69">
        <f>+Dues!I23</f>
        <v>50</v>
      </c>
      <c r="J24" s="69">
        <f>+Dues!J23</f>
        <v>0</v>
      </c>
      <c r="K24" s="69">
        <f>+Dues!K23</f>
        <v>180</v>
      </c>
      <c r="L24" s="69">
        <f>+Dues!L23</f>
        <v>705</v>
      </c>
      <c r="M24" s="69">
        <f>+Dues!M23</f>
        <v>0</v>
      </c>
      <c r="N24" s="47">
        <f t="shared" si="9"/>
        <v>1260</v>
      </c>
      <c r="P24" s="47">
        <v>1260</v>
      </c>
      <c r="Q24" s="47">
        <f t="shared" si="7"/>
        <v>0</v>
      </c>
      <c r="R24" s="11">
        <f t="shared" si="8"/>
        <v>0</v>
      </c>
    </row>
    <row r="25" spans="1:27" x14ac:dyDescent="0.25">
      <c r="A25" s="2" t="s">
        <v>29</v>
      </c>
      <c r="B25" s="47">
        <v>100</v>
      </c>
      <c r="C25" s="47">
        <v>100</v>
      </c>
      <c r="D25" s="47">
        <v>100</v>
      </c>
      <c r="E25" s="47">
        <v>100</v>
      </c>
      <c r="F25" s="47">
        <v>100</v>
      </c>
      <c r="G25" s="47">
        <v>100</v>
      </c>
      <c r="H25" s="47">
        <v>100</v>
      </c>
      <c r="I25" s="47">
        <v>100</v>
      </c>
      <c r="J25" s="47">
        <v>100</v>
      </c>
      <c r="K25" s="47">
        <v>100</v>
      </c>
      <c r="L25" s="47">
        <v>100</v>
      </c>
      <c r="M25" s="47">
        <v>100</v>
      </c>
      <c r="N25" s="47">
        <f t="shared" si="9"/>
        <v>1200</v>
      </c>
      <c r="P25" s="47">
        <v>1000</v>
      </c>
      <c r="Q25" s="47">
        <f t="shared" si="7"/>
        <v>200</v>
      </c>
      <c r="R25" s="11">
        <f t="shared" si="8"/>
        <v>0.2</v>
      </c>
    </row>
    <row r="26" spans="1:27" x14ac:dyDescent="0.25">
      <c r="A26" s="12" t="s">
        <v>30</v>
      </c>
      <c r="B26" s="69">
        <f>+Utilities!B23</f>
        <v>949.66666666666697</v>
      </c>
      <c r="C26" s="69">
        <f>+Utilities!C23</f>
        <v>949.66666666666663</v>
      </c>
      <c r="D26" s="69">
        <f>+Utilities!D23</f>
        <v>949.66666666666663</v>
      </c>
      <c r="E26" s="69">
        <f>+Utilities!E23</f>
        <v>949.66666666666663</v>
      </c>
      <c r="F26" s="69">
        <f>+Utilities!F23</f>
        <v>949.66666666666663</v>
      </c>
      <c r="G26" s="69">
        <f>+Utilities!G23</f>
        <v>949.66666666666663</v>
      </c>
      <c r="H26" s="69">
        <f>+Utilities!H23</f>
        <v>949.66666666666663</v>
      </c>
      <c r="I26" s="69">
        <f>+Utilities!I23</f>
        <v>949.66666666666663</v>
      </c>
      <c r="J26" s="69">
        <f>+Utilities!J23</f>
        <v>949.66666666666663</v>
      </c>
      <c r="K26" s="69">
        <f>+Utilities!K23</f>
        <v>949.66666666666663</v>
      </c>
      <c r="L26" s="69">
        <f>+Utilities!L23</f>
        <v>949.66666666666663</v>
      </c>
      <c r="M26" s="69">
        <f>+Utilities!M23</f>
        <v>949.66666666666663</v>
      </c>
      <c r="N26" s="47">
        <f t="shared" si="9"/>
        <v>11395.999999999998</v>
      </c>
      <c r="P26" s="47">
        <v>10896</v>
      </c>
      <c r="Q26" s="47">
        <f t="shared" si="7"/>
        <v>499.99999999999818</v>
      </c>
      <c r="R26" s="11">
        <f t="shared" si="8"/>
        <v>4.5888399412628324E-2</v>
      </c>
    </row>
    <row r="27" spans="1:27" x14ac:dyDescent="0.25">
      <c r="A27" s="12" t="s">
        <v>31</v>
      </c>
      <c r="B27" s="69">
        <f>+Propane!B23</f>
        <v>500</v>
      </c>
      <c r="C27" s="69">
        <f>+Propane!C23</f>
        <v>0</v>
      </c>
      <c r="D27" s="69">
        <f>+Propane!D23</f>
        <v>0</v>
      </c>
      <c r="E27" s="69">
        <f>+Propane!E23</f>
        <v>0</v>
      </c>
      <c r="F27" s="69">
        <f>+Propane!F23</f>
        <v>500</v>
      </c>
      <c r="G27" s="69">
        <f>+Propane!G23</f>
        <v>800</v>
      </c>
      <c r="H27" s="69">
        <f>+Propane!H23</f>
        <v>1000</v>
      </c>
      <c r="I27" s="69">
        <f>+Propane!I23</f>
        <v>1500</v>
      </c>
      <c r="J27" s="69">
        <f>+Propane!J23</f>
        <v>500</v>
      </c>
      <c r="K27" s="69">
        <f>+Propane!K23</f>
        <v>200</v>
      </c>
      <c r="L27" s="69">
        <f>+Propane!L23</f>
        <v>0</v>
      </c>
      <c r="M27" s="69">
        <f>+Propane!M23</f>
        <v>0</v>
      </c>
      <c r="N27" s="47">
        <f t="shared" si="9"/>
        <v>5000</v>
      </c>
      <c r="P27" s="47">
        <v>3515</v>
      </c>
      <c r="Q27" s="47">
        <f t="shared" si="7"/>
        <v>1485</v>
      </c>
      <c r="R27" s="11">
        <f t="shared" si="8"/>
        <v>0.42247510668563298</v>
      </c>
    </row>
    <row r="28" spans="1:27" x14ac:dyDescent="0.25">
      <c r="A28" s="2" t="s">
        <v>32</v>
      </c>
      <c r="B28" s="47">
        <v>6818</v>
      </c>
      <c r="C28" s="47">
        <v>6818</v>
      </c>
      <c r="D28" s="47">
        <v>6818</v>
      </c>
      <c r="E28" s="47">
        <v>6818</v>
      </c>
      <c r="F28" s="47">
        <v>6818</v>
      </c>
      <c r="G28" s="47">
        <v>6818</v>
      </c>
      <c r="H28" s="47">
        <v>6818</v>
      </c>
      <c r="I28" s="47">
        <v>6818</v>
      </c>
      <c r="J28" s="47">
        <v>6818</v>
      </c>
      <c r="K28" s="47">
        <v>6818</v>
      </c>
      <c r="L28" s="47">
        <v>6818</v>
      </c>
      <c r="M28" s="47">
        <v>6818</v>
      </c>
      <c r="N28" s="47">
        <f t="shared" si="9"/>
        <v>81816</v>
      </c>
      <c r="P28" s="47">
        <v>76344</v>
      </c>
      <c r="Q28" s="47">
        <f t="shared" si="7"/>
        <v>5472</v>
      </c>
      <c r="R28" s="11">
        <f t="shared" si="8"/>
        <v>7.1675573718956304E-2</v>
      </c>
    </row>
    <row r="29" spans="1:27" x14ac:dyDescent="0.25">
      <c r="A29" s="2" t="s">
        <v>69</v>
      </c>
      <c r="B29" s="47">
        <v>500</v>
      </c>
      <c r="C29" s="47">
        <v>500</v>
      </c>
      <c r="D29" s="47">
        <v>500</v>
      </c>
      <c r="E29" s="47">
        <v>500</v>
      </c>
      <c r="F29" s="47">
        <v>500</v>
      </c>
      <c r="G29" s="47">
        <v>500</v>
      </c>
      <c r="H29" s="47">
        <v>500</v>
      </c>
      <c r="I29" s="47">
        <v>500</v>
      </c>
      <c r="J29" s="47">
        <v>500</v>
      </c>
      <c r="K29" s="47">
        <v>500</v>
      </c>
      <c r="L29" s="47">
        <v>500</v>
      </c>
      <c r="M29" s="47">
        <v>500</v>
      </c>
      <c r="N29" s="47">
        <f t="shared" si="9"/>
        <v>6000</v>
      </c>
      <c r="P29" s="47">
        <v>5307</v>
      </c>
      <c r="Q29" s="47">
        <f t="shared" si="7"/>
        <v>693</v>
      </c>
      <c r="R29" s="11">
        <f t="shared" si="8"/>
        <v>0.13058224985867722</v>
      </c>
    </row>
    <row r="30" spans="1:27" x14ac:dyDescent="0.25">
      <c r="A30" s="2" t="s">
        <v>108</v>
      </c>
      <c r="I30" s="47">
        <v>2189</v>
      </c>
      <c r="N30" s="47">
        <f t="shared" si="9"/>
        <v>2189</v>
      </c>
      <c r="P30" s="47">
        <v>2189</v>
      </c>
      <c r="Q30" s="47">
        <f t="shared" si="7"/>
        <v>0</v>
      </c>
      <c r="R30" s="11">
        <f t="shared" si="8"/>
        <v>0</v>
      </c>
    </row>
    <row r="31" spans="1:27" x14ac:dyDescent="0.25">
      <c r="A31" s="2" t="s">
        <v>33</v>
      </c>
      <c r="B31" s="47">
        <v>1748</v>
      </c>
      <c r="C31" s="47">
        <v>1748</v>
      </c>
      <c r="D31" s="47">
        <v>1748</v>
      </c>
      <c r="E31" s="47">
        <v>1748</v>
      </c>
      <c r="F31" s="47">
        <v>1748</v>
      </c>
      <c r="G31" s="47">
        <v>1748</v>
      </c>
      <c r="H31" s="47">
        <v>1748</v>
      </c>
      <c r="I31" s="47">
        <v>1748</v>
      </c>
      <c r="J31" s="47">
        <v>1748</v>
      </c>
      <c r="K31" s="47">
        <v>1748</v>
      </c>
      <c r="L31" s="47">
        <v>1748</v>
      </c>
      <c r="M31" s="47">
        <v>1748</v>
      </c>
      <c r="N31" s="47">
        <f t="shared" si="9"/>
        <v>20976</v>
      </c>
      <c r="P31" s="47">
        <v>41568</v>
      </c>
      <c r="Q31" s="47">
        <f t="shared" si="7"/>
        <v>-20592</v>
      </c>
      <c r="R31" s="11">
        <f t="shared" si="8"/>
        <v>-0.49538106235565821</v>
      </c>
    </row>
    <row r="32" spans="1:27" x14ac:dyDescent="0.25">
      <c r="A32" s="2" t="s">
        <v>34</v>
      </c>
      <c r="F32" s="47">
        <f>2200+15400</f>
        <v>17600</v>
      </c>
      <c r="N32" s="47">
        <f t="shared" si="9"/>
        <v>17600</v>
      </c>
      <c r="P32" s="47">
        <v>17600</v>
      </c>
      <c r="Q32" s="47">
        <f t="shared" si="7"/>
        <v>0</v>
      </c>
      <c r="R32" s="11">
        <f t="shared" si="8"/>
        <v>0</v>
      </c>
    </row>
    <row r="33" spans="1:27" x14ac:dyDescent="0.25">
      <c r="A33" s="2" t="s">
        <v>35</v>
      </c>
      <c r="B33" s="66">
        <v>500</v>
      </c>
      <c r="C33" s="66">
        <v>500</v>
      </c>
      <c r="D33" s="66">
        <v>500</v>
      </c>
      <c r="E33" s="66">
        <v>500</v>
      </c>
      <c r="F33" s="66">
        <v>500</v>
      </c>
      <c r="G33" s="66">
        <v>500</v>
      </c>
      <c r="H33" s="66">
        <v>500</v>
      </c>
      <c r="I33" s="66">
        <v>500</v>
      </c>
      <c r="J33" s="66">
        <v>500</v>
      </c>
      <c r="K33" s="66">
        <v>500</v>
      </c>
      <c r="L33" s="66">
        <v>500</v>
      </c>
      <c r="M33" s="66">
        <v>500</v>
      </c>
      <c r="N33" s="66">
        <f t="shared" si="9"/>
        <v>6000</v>
      </c>
      <c r="P33" s="66">
        <v>6335</v>
      </c>
      <c r="Q33" s="66">
        <f t="shared" si="7"/>
        <v>-335</v>
      </c>
      <c r="R33" s="40">
        <f t="shared" si="8"/>
        <v>-5.288082083662194E-2</v>
      </c>
      <c r="S33" s="32"/>
      <c r="T33" s="32"/>
      <c r="U33" s="32"/>
      <c r="V33" s="32"/>
      <c r="W33" s="32"/>
      <c r="X33" s="32"/>
      <c r="Y33" s="32"/>
      <c r="Z33" s="32"/>
      <c r="AA33" s="32"/>
    </row>
    <row r="34" spans="1:27" x14ac:dyDescent="0.25">
      <c r="A34" s="2" t="s">
        <v>36</v>
      </c>
      <c r="B34" s="66">
        <v>725</v>
      </c>
      <c r="C34" s="66">
        <v>725</v>
      </c>
      <c r="D34" s="66">
        <v>725</v>
      </c>
      <c r="E34" s="66">
        <v>725</v>
      </c>
      <c r="F34" s="66">
        <v>725</v>
      </c>
      <c r="G34" s="66">
        <v>725</v>
      </c>
      <c r="H34" s="66">
        <v>725</v>
      </c>
      <c r="I34" s="66">
        <v>725</v>
      </c>
      <c r="J34" s="66">
        <v>725</v>
      </c>
      <c r="K34" s="66">
        <v>725</v>
      </c>
      <c r="L34" s="66">
        <v>725</v>
      </c>
      <c r="M34" s="66">
        <v>725</v>
      </c>
      <c r="N34" s="66">
        <f t="shared" si="9"/>
        <v>8700</v>
      </c>
      <c r="P34" s="66">
        <v>8200</v>
      </c>
      <c r="Q34" s="66">
        <f t="shared" si="7"/>
        <v>500</v>
      </c>
      <c r="R34" s="40">
        <f t="shared" si="8"/>
        <v>6.097560975609756E-2</v>
      </c>
      <c r="S34" s="32"/>
      <c r="T34" s="32"/>
      <c r="U34" s="32"/>
      <c r="V34" s="32"/>
      <c r="W34" s="32"/>
      <c r="X34" s="32"/>
      <c r="Y34" s="32"/>
      <c r="Z34" s="32"/>
      <c r="AA34" s="32"/>
    </row>
    <row r="35" spans="1:27" x14ac:dyDescent="0.25">
      <c r="A35" s="2" t="s">
        <v>37</v>
      </c>
      <c r="H35" s="47">
        <v>7800</v>
      </c>
      <c r="N35" s="47">
        <f t="shared" si="9"/>
        <v>7800</v>
      </c>
      <c r="P35" s="47">
        <v>7800</v>
      </c>
      <c r="Q35" s="47">
        <f t="shared" si="7"/>
        <v>0</v>
      </c>
      <c r="R35" s="11">
        <f t="shared" si="8"/>
        <v>0</v>
      </c>
    </row>
    <row r="36" spans="1:27" x14ac:dyDescent="0.25">
      <c r="A36" s="2" t="s">
        <v>132</v>
      </c>
      <c r="B36" s="47">
        <v>3835</v>
      </c>
      <c r="D36" s="47">
        <v>3835</v>
      </c>
      <c r="G36" s="47">
        <v>3835</v>
      </c>
      <c r="K36" s="47">
        <v>3835</v>
      </c>
      <c r="N36" s="47">
        <f t="shared" si="9"/>
        <v>15340</v>
      </c>
      <c r="P36" s="47">
        <v>13338</v>
      </c>
      <c r="Q36" s="47">
        <f t="shared" si="7"/>
        <v>2002</v>
      </c>
      <c r="R36" s="11">
        <f t="shared" si="8"/>
        <v>0.15009746588693956</v>
      </c>
    </row>
    <row r="37" spans="1:27" x14ac:dyDescent="0.25">
      <c r="A37" s="2" t="s">
        <v>38</v>
      </c>
      <c r="B37" s="47">
        <v>4400</v>
      </c>
      <c r="N37" s="47">
        <f t="shared" si="9"/>
        <v>4400</v>
      </c>
      <c r="P37" s="47">
        <v>4400</v>
      </c>
      <c r="Q37" s="47">
        <f t="shared" si="7"/>
        <v>0</v>
      </c>
      <c r="R37" s="11">
        <f t="shared" si="8"/>
        <v>0</v>
      </c>
    </row>
    <row r="38" spans="1:27" x14ac:dyDescent="0.25">
      <c r="A38" s="2" t="s">
        <v>39</v>
      </c>
      <c r="B38" s="47">
        <v>50</v>
      </c>
      <c r="C38" s="47">
        <v>100</v>
      </c>
      <c r="D38" s="47">
        <v>100</v>
      </c>
      <c r="E38" s="47">
        <v>600</v>
      </c>
      <c r="F38" s="47">
        <v>50</v>
      </c>
      <c r="G38" s="47">
        <v>600</v>
      </c>
      <c r="H38" s="47">
        <v>50</v>
      </c>
      <c r="I38" s="47">
        <v>100</v>
      </c>
      <c r="J38" s="47">
        <v>50</v>
      </c>
      <c r="K38" s="47">
        <v>100</v>
      </c>
      <c r="L38" s="47">
        <v>600</v>
      </c>
      <c r="M38" s="47">
        <v>100</v>
      </c>
      <c r="N38" s="47">
        <f t="shared" si="9"/>
        <v>2500</v>
      </c>
      <c r="P38" s="47">
        <v>2104</v>
      </c>
      <c r="Q38" s="47">
        <f t="shared" si="7"/>
        <v>396</v>
      </c>
      <c r="R38" s="11">
        <f t="shared" si="8"/>
        <v>0.18821292775665399</v>
      </c>
    </row>
    <row r="39" spans="1:27" x14ac:dyDescent="0.25">
      <c r="A39" s="2" t="s">
        <v>149</v>
      </c>
      <c r="B39" s="47">
        <v>0</v>
      </c>
      <c r="C39" s="47">
        <v>0</v>
      </c>
      <c r="D39" s="47">
        <v>0</v>
      </c>
      <c r="E39" s="47">
        <v>0</v>
      </c>
      <c r="F39" s="47">
        <v>6000</v>
      </c>
      <c r="G39" s="47">
        <v>6000</v>
      </c>
      <c r="H39" s="47">
        <v>6000</v>
      </c>
      <c r="I39" s="47">
        <v>6000</v>
      </c>
      <c r="J39" s="47">
        <v>6000</v>
      </c>
      <c r="K39" s="47">
        <v>6000</v>
      </c>
      <c r="L39" s="47">
        <v>6000</v>
      </c>
      <c r="M39" s="47">
        <v>6000</v>
      </c>
      <c r="N39" s="47">
        <f t="shared" si="9"/>
        <v>48000</v>
      </c>
      <c r="P39" s="47">
        <v>72427</v>
      </c>
      <c r="Q39" s="47">
        <f t="shared" si="7"/>
        <v>-24427</v>
      </c>
      <c r="R39" s="11">
        <f t="shared" si="8"/>
        <v>-0.33726372761539203</v>
      </c>
    </row>
    <row r="40" spans="1:27" x14ac:dyDescent="0.25">
      <c r="A40" s="2" t="s">
        <v>123</v>
      </c>
      <c r="B40" s="72">
        <v>1250</v>
      </c>
      <c r="C40" s="72">
        <v>1251</v>
      </c>
      <c r="D40" s="72">
        <v>1250</v>
      </c>
      <c r="E40" s="72">
        <v>1251</v>
      </c>
      <c r="F40" s="72">
        <v>1250</v>
      </c>
      <c r="G40" s="72">
        <v>1251</v>
      </c>
      <c r="H40" s="72">
        <v>1250</v>
      </c>
      <c r="I40" s="72">
        <v>1251</v>
      </c>
      <c r="J40" s="72">
        <v>1250</v>
      </c>
      <c r="K40" s="72">
        <v>1251</v>
      </c>
      <c r="L40" s="72">
        <v>1250</v>
      </c>
      <c r="M40" s="72">
        <v>1250</v>
      </c>
      <c r="N40" s="72">
        <f t="shared" si="9"/>
        <v>15005</v>
      </c>
      <c r="O40" s="82"/>
      <c r="P40" s="72">
        <v>0</v>
      </c>
      <c r="Q40" s="72">
        <f t="shared" si="7"/>
        <v>15005</v>
      </c>
      <c r="R40" s="11"/>
      <c r="S40" s="44"/>
      <c r="T40" s="44"/>
      <c r="U40" s="44"/>
      <c r="V40" s="44"/>
      <c r="W40" s="44"/>
      <c r="X40" s="44"/>
      <c r="Y40" s="44"/>
      <c r="Z40" s="44"/>
      <c r="AA40" s="44"/>
    </row>
    <row r="41" spans="1:27" s="2" customFormat="1" x14ac:dyDescent="0.25">
      <c r="A41" s="2" t="s">
        <v>40</v>
      </c>
      <c r="B41" s="73">
        <f t="shared" ref="B41:N41" si="10">SUM(B13:B40)</f>
        <v>76638.349833333341</v>
      </c>
      <c r="C41" s="73">
        <f t="shared" si="10"/>
        <v>68754.349833333341</v>
      </c>
      <c r="D41" s="73">
        <f t="shared" si="10"/>
        <v>87588.349833333326</v>
      </c>
      <c r="E41" s="73">
        <f t="shared" si="10"/>
        <v>69429.349833333341</v>
      </c>
      <c r="F41" s="73">
        <f t="shared" si="10"/>
        <v>120097.61983333332</v>
      </c>
      <c r="G41" s="73">
        <f t="shared" si="10"/>
        <v>79889.349833333341</v>
      </c>
      <c r="H41" s="73">
        <f t="shared" si="10"/>
        <v>85288.349833333341</v>
      </c>
      <c r="I41" s="73">
        <f t="shared" si="10"/>
        <v>78493.349833333341</v>
      </c>
      <c r="J41" s="73">
        <f t="shared" si="10"/>
        <v>76554.349833333341</v>
      </c>
      <c r="K41" s="73">
        <f t="shared" si="10"/>
        <v>78970.349833333341</v>
      </c>
      <c r="L41" s="73">
        <f t="shared" si="10"/>
        <v>94815.725602564096</v>
      </c>
      <c r="M41" s="73">
        <f t="shared" si="10"/>
        <v>73954.349833333341</v>
      </c>
      <c r="N41" s="73">
        <f t="shared" si="10"/>
        <v>990473.84376923076</v>
      </c>
      <c r="O41" s="81"/>
      <c r="P41" s="73">
        <f>SUM(P13:P40)</f>
        <v>960272</v>
      </c>
      <c r="Q41" s="71"/>
      <c r="R41" s="20"/>
      <c r="S41" s="21"/>
      <c r="T41" s="21"/>
      <c r="U41" s="21"/>
      <c r="V41" s="21"/>
      <c r="W41" s="21"/>
      <c r="X41" s="21"/>
      <c r="Y41" s="21"/>
      <c r="Z41" s="21"/>
      <c r="AA41" s="21"/>
    </row>
    <row r="42" spans="1:27" x14ac:dyDescent="0.25">
      <c r="R42" s="4"/>
    </row>
    <row r="43" spans="1:27" s="2" customFormat="1" ht="15.75" thickBot="1" x14ac:dyDescent="0.3">
      <c r="A43" s="2" t="s">
        <v>41</v>
      </c>
      <c r="B43" s="76">
        <f t="shared" ref="B43:N43" si="11">+B11-B41</f>
        <v>-65616.61547340636</v>
      </c>
      <c r="C43" s="76">
        <f t="shared" si="11"/>
        <v>-67777.537917003661</v>
      </c>
      <c r="D43" s="76">
        <f t="shared" si="11"/>
        <v>-72310.278968733895</v>
      </c>
      <c r="E43" s="76">
        <f t="shared" si="11"/>
        <v>321552.94500410289</v>
      </c>
      <c r="F43" s="76">
        <f t="shared" si="11"/>
        <v>-5147.9351575535693</v>
      </c>
      <c r="G43" s="76">
        <f t="shared" si="11"/>
        <v>26418.117020037593</v>
      </c>
      <c r="H43" s="76">
        <f t="shared" si="11"/>
        <v>-40633.763757766195</v>
      </c>
      <c r="I43" s="76">
        <f t="shared" si="11"/>
        <v>-61715.031705191228</v>
      </c>
      <c r="J43" s="76">
        <f t="shared" si="11"/>
        <v>-56792.850550391318</v>
      </c>
      <c r="K43" s="76">
        <f t="shared" si="11"/>
        <v>136443.22435706519</v>
      </c>
      <c r="L43" s="76">
        <f t="shared" si="11"/>
        <v>-66783.22052786767</v>
      </c>
      <c r="M43" s="76">
        <f t="shared" si="11"/>
        <v>-47636.596092522683</v>
      </c>
      <c r="N43" s="76">
        <f t="shared" si="11"/>
        <v>0.45623076916672289</v>
      </c>
      <c r="O43" s="81"/>
      <c r="P43" s="76">
        <f>+P11-P41</f>
        <v>0</v>
      </c>
      <c r="Q43" s="77"/>
      <c r="R43" s="20"/>
      <c r="S43" s="21"/>
      <c r="T43" s="21"/>
      <c r="U43" s="21"/>
      <c r="V43" s="21"/>
      <c r="W43" s="21"/>
      <c r="X43" s="21"/>
      <c r="Y43" s="21"/>
      <c r="Z43" s="21"/>
      <c r="AA43" s="21"/>
    </row>
    <row r="44" spans="1:27" ht="15.75" thickTop="1" x14ac:dyDescent="0.25">
      <c r="N44" s="70"/>
      <c r="R44" s="4"/>
    </row>
    <row r="45" spans="1:27" x14ac:dyDescent="0.25">
      <c r="R45" s="4"/>
    </row>
    <row r="46" spans="1:27" x14ac:dyDescent="0.25">
      <c r="R46" s="4"/>
    </row>
    <row r="47" spans="1:27" x14ac:dyDescent="0.25">
      <c r="R47" s="4"/>
    </row>
    <row r="48" spans="1:27" x14ac:dyDescent="0.25">
      <c r="R48" s="4"/>
    </row>
    <row r="49" spans="18:18" x14ac:dyDescent="0.25">
      <c r="R49" s="4"/>
    </row>
    <row r="50" spans="18:18" x14ac:dyDescent="0.25">
      <c r="R50" s="4"/>
    </row>
    <row r="51" spans="18:18" x14ac:dyDescent="0.25">
      <c r="R51" s="4"/>
    </row>
    <row r="52" spans="18:18" x14ac:dyDescent="0.25">
      <c r="R52" s="4"/>
    </row>
    <row r="53" spans="18:18" x14ac:dyDescent="0.25">
      <c r="R53" s="4"/>
    </row>
    <row r="54" spans="18:18" x14ac:dyDescent="0.25">
      <c r="R54" s="4"/>
    </row>
    <row r="55" spans="18:18" x14ac:dyDescent="0.25">
      <c r="R55" s="4"/>
    </row>
    <row r="56" spans="18:18" x14ac:dyDescent="0.25">
      <c r="R56" s="4"/>
    </row>
    <row r="57" spans="18:18" x14ac:dyDescent="0.25">
      <c r="R57" s="4"/>
    </row>
    <row r="58" spans="18:18" x14ac:dyDescent="0.25">
      <c r="R58" s="4"/>
    </row>
    <row r="59" spans="18:18" x14ac:dyDescent="0.25">
      <c r="R59" s="4"/>
    </row>
    <row r="60" spans="18:18" x14ac:dyDescent="0.25">
      <c r="R60" s="4"/>
    </row>
    <row r="61" spans="18:18" x14ac:dyDescent="0.25">
      <c r="R61" s="4"/>
    </row>
    <row r="62" spans="18:18" x14ac:dyDescent="0.25">
      <c r="R62" s="4"/>
    </row>
    <row r="63" spans="18:18" x14ac:dyDescent="0.25">
      <c r="R63" s="4"/>
    </row>
    <row r="64" spans="18:18" x14ac:dyDescent="0.25">
      <c r="R64" s="4"/>
    </row>
    <row r="65" spans="18:18" x14ac:dyDescent="0.25">
      <c r="R65" s="4"/>
    </row>
    <row r="66" spans="18:18" x14ac:dyDescent="0.25">
      <c r="R66" s="4"/>
    </row>
    <row r="67" spans="18:18" x14ac:dyDescent="0.25">
      <c r="R67" s="4"/>
    </row>
    <row r="68" spans="18:18" x14ac:dyDescent="0.25">
      <c r="R68" s="4"/>
    </row>
    <row r="69" spans="18:18" x14ac:dyDescent="0.25">
      <c r="R69" s="4"/>
    </row>
    <row r="70" spans="18:18" x14ac:dyDescent="0.25">
      <c r="R70" s="4"/>
    </row>
    <row r="71" spans="18:18" x14ac:dyDescent="0.25">
      <c r="R71" s="4"/>
    </row>
    <row r="72" spans="18:18" x14ac:dyDescent="0.25">
      <c r="R72" s="4"/>
    </row>
    <row r="73" spans="18:18" x14ac:dyDescent="0.25">
      <c r="R73" s="4"/>
    </row>
    <row r="74" spans="18:18" x14ac:dyDescent="0.25">
      <c r="R74" s="4"/>
    </row>
    <row r="75" spans="18:18" x14ac:dyDescent="0.25">
      <c r="R75" s="4"/>
    </row>
    <row r="76" spans="18:18" x14ac:dyDescent="0.25">
      <c r="R76" s="4"/>
    </row>
    <row r="77" spans="18:18" x14ac:dyDescent="0.25">
      <c r="R77" s="4"/>
    </row>
    <row r="78" spans="18:18" x14ac:dyDescent="0.25">
      <c r="R78" s="4"/>
    </row>
    <row r="79" spans="18:18" x14ac:dyDescent="0.25">
      <c r="R79" s="4"/>
    </row>
    <row r="80" spans="18:18" x14ac:dyDescent="0.25">
      <c r="R80" s="4"/>
    </row>
    <row r="81" spans="18:18" x14ac:dyDescent="0.25">
      <c r="R81" s="4"/>
    </row>
    <row r="82" spans="18:18" x14ac:dyDescent="0.25">
      <c r="R82" s="4"/>
    </row>
    <row r="83" spans="18:18" x14ac:dyDescent="0.25">
      <c r="R83" s="4"/>
    </row>
    <row r="84" spans="18:18" x14ac:dyDescent="0.25">
      <c r="R84" s="4"/>
    </row>
    <row r="85" spans="18:18" x14ac:dyDescent="0.25">
      <c r="R85" s="4"/>
    </row>
    <row r="86" spans="18:18" x14ac:dyDescent="0.25">
      <c r="R86" s="4"/>
    </row>
    <row r="87" spans="18:18" x14ac:dyDescent="0.25">
      <c r="R87" s="4"/>
    </row>
    <row r="88" spans="18:18" x14ac:dyDescent="0.25">
      <c r="R88" s="4"/>
    </row>
    <row r="89" spans="18:18" x14ac:dyDescent="0.25">
      <c r="R89" s="4"/>
    </row>
    <row r="90" spans="18:18" x14ac:dyDescent="0.25">
      <c r="R90" s="4"/>
    </row>
    <row r="91" spans="18:18" x14ac:dyDescent="0.25">
      <c r="R91" s="4"/>
    </row>
    <row r="92" spans="18:18" x14ac:dyDescent="0.25">
      <c r="R92" s="4"/>
    </row>
    <row r="93" spans="18:18" x14ac:dyDescent="0.25">
      <c r="R93" s="4"/>
    </row>
    <row r="94" spans="18:18" x14ac:dyDescent="0.25">
      <c r="R94" s="4"/>
    </row>
    <row r="95" spans="18:18" x14ac:dyDescent="0.25">
      <c r="R95" s="4"/>
    </row>
    <row r="96" spans="18:18" x14ac:dyDescent="0.25">
      <c r="R96" s="4"/>
    </row>
    <row r="97" spans="18:18" x14ac:dyDescent="0.25">
      <c r="R97" s="4"/>
    </row>
    <row r="98" spans="18:18" x14ac:dyDescent="0.25">
      <c r="R98" s="4"/>
    </row>
    <row r="99" spans="18:18" x14ac:dyDescent="0.25">
      <c r="R99" s="4"/>
    </row>
    <row r="100" spans="18:18" x14ac:dyDescent="0.25">
      <c r="R100" s="4"/>
    </row>
    <row r="101" spans="18:18" x14ac:dyDescent="0.25">
      <c r="R101" s="4"/>
    </row>
    <row r="102" spans="18:18" x14ac:dyDescent="0.25">
      <c r="R102" s="4"/>
    </row>
    <row r="103" spans="18:18" x14ac:dyDescent="0.25">
      <c r="R103" s="4"/>
    </row>
    <row r="104" spans="18:18" x14ac:dyDescent="0.25">
      <c r="R104" s="4"/>
    </row>
    <row r="105" spans="18:18" x14ac:dyDescent="0.25">
      <c r="R105" s="4"/>
    </row>
    <row r="106" spans="18:18" x14ac:dyDescent="0.25">
      <c r="R106" s="4"/>
    </row>
    <row r="107" spans="18:18" x14ac:dyDescent="0.25">
      <c r="R107" s="4"/>
    </row>
    <row r="108" spans="18:18" x14ac:dyDescent="0.25">
      <c r="R108" s="4"/>
    </row>
    <row r="109" spans="18:18" x14ac:dyDescent="0.25">
      <c r="R109" s="4"/>
    </row>
    <row r="110" spans="18:18" x14ac:dyDescent="0.25">
      <c r="R110" s="4"/>
    </row>
    <row r="111" spans="18:18" x14ac:dyDescent="0.25">
      <c r="R111" s="4"/>
    </row>
    <row r="112" spans="18:18" x14ac:dyDescent="0.25">
      <c r="R112" s="4"/>
    </row>
    <row r="113" spans="18:18" x14ac:dyDescent="0.25">
      <c r="R113" s="4"/>
    </row>
    <row r="114" spans="18:18" x14ac:dyDescent="0.25">
      <c r="R114" s="4"/>
    </row>
    <row r="115" spans="18:18" x14ac:dyDescent="0.25">
      <c r="R115" s="4"/>
    </row>
    <row r="116" spans="18:18" x14ac:dyDescent="0.25">
      <c r="R116" s="4"/>
    </row>
    <row r="117" spans="18:18" x14ac:dyDescent="0.25">
      <c r="R117" s="4"/>
    </row>
    <row r="118" spans="18:18" x14ac:dyDescent="0.25">
      <c r="R118" s="4"/>
    </row>
    <row r="119" spans="18:18" x14ac:dyDescent="0.25">
      <c r="R119" s="4"/>
    </row>
    <row r="120" spans="18:18" x14ac:dyDescent="0.25">
      <c r="R120" s="4"/>
    </row>
    <row r="121" spans="18:18" x14ac:dyDescent="0.25">
      <c r="R121" s="4"/>
    </row>
    <row r="122" spans="18:18" x14ac:dyDescent="0.25">
      <c r="R122" s="4"/>
    </row>
    <row r="123" spans="18:18" x14ac:dyDescent="0.25">
      <c r="R123" s="4"/>
    </row>
    <row r="124" spans="18:18" x14ac:dyDescent="0.25">
      <c r="R124" s="4"/>
    </row>
    <row r="125" spans="18:18" x14ac:dyDescent="0.25">
      <c r="R125" s="4"/>
    </row>
    <row r="126" spans="18:18" x14ac:dyDescent="0.25">
      <c r="R126" s="4"/>
    </row>
    <row r="127" spans="18:18" x14ac:dyDescent="0.25">
      <c r="R127" s="4"/>
    </row>
    <row r="128" spans="18:18" x14ac:dyDescent="0.25">
      <c r="R128" s="4"/>
    </row>
    <row r="129" spans="18:18" x14ac:dyDescent="0.25">
      <c r="R129" s="4"/>
    </row>
    <row r="130" spans="18:18" x14ac:dyDescent="0.25">
      <c r="R130" s="4"/>
    </row>
    <row r="131" spans="18:18" x14ac:dyDescent="0.25">
      <c r="R131" s="4"/>
    </row>
    <row r="132" spans="18:18" x14ac:dyDescent="0.25">
      <c r="R132" s="4"/>
    </row>
    <row r="133" spans="18:18" x14ac:dyDescent="0.25">
      <c r="R133" s="4"/>
    </row>
    <row r="134" spans="18:18" x14ac:dyDescent="0.25">
      <c r="R134" s="4"/>
    </row>
    <row r="135" spans="18:18" x14ac:dyDescent="0.25">
      <c r="R135" s="4"/>
    </row>
    <row r="136" spans="18:18" x14ac:dyDescent="0.25">
      <c r="R136" s="4"/>
    </row>
    <row r="137" spans="18:18" x14ac:dyDescent="0.25">
      <c r="R137" s="4"/>
    </row>
    <row r="138" spans="18:18" x14ac:dyDescent="0.25">
      <c r="R138" s="4"/>
    </row>
    <row r="139" spans="18:18" x14ac:dyDescent="0.25">
      <c r="R139" s="4"/>
    </row>
    <row r="140" spans="18:18" x14ac:dyDescent="0.25">
      <c r="R140" s="4"/>
    </row>
    <row r="141" spans="18:18" x14ac:dyDescent="0.25">
      <c r="R141" s="4"/>
    </row>
    <row r="142" spans="18:18" x14ac:dyDescent="0.25">
      <c r="R142" s="4"/>
    </row>
    <row r="143" spans="18:18" x14ac:dyDescent="0.25">
      <c r="R143" s="4"/>
    </row>
    <row r="144" spans="18:18" x14ac:dyDescent="0.25">
      <c r="R144" s="4"/>
    </row>
    <row r="145" spans="18:18" x14ac:dyDescent="0.25">
      <c r="R145" s="4"/>
    </row>
    <row r="146" spans="18:18" x14ac:dyDescent="0.25">
      <c r="R146" s="4"/>
    </row>
    <row r="147" spans="18:18" x14ac:dyDescent="0.25">
      <c r="R147" s="4"/>
    </row>
    <row r="148" spans="18:18" x14ac:dyDescent="0.25">
      <c r="R148" s="4"/>
    </row>
    <row r="149" spans="18:18" x14ac:dyDescent="0.25">
      <c r="R149" s="4"/>
    </row>
    <row r="150" spans="18:18" x14ac:dyDescent="0.25">
      <c r="R150" s="4"/>
    </row>
    <row r="151" spans="18:18" x14ac:dyDescent="0.25">
      <c r="R151" s="4"/>
    </row>
    <row r="152" spans="18:18" x14ac:dyDescent="0.25">
      <c r="R152" s="4"/>
    </row>
    <row r="153" spans="18:18" x14ac:dyDescent="0.25">
      <c r="R153" s="4"/>
    </row>
    <row r="154" spans="18:18" x14ac:dyDescent="0.25">
      <c r="R154" s="4"/>
    </row>
    <row r="155" spans="18:18" x14ac:dyDescent="0.25">
      <c r="R155" s="4"/>
    </row>
    <row r="156" spans="18:18" x14ac:dyDescent="0.25">
      <c r="R156" s="4"/>
    </row>
    <row r="157" spans="18:18" x14ac:dyDescent="0.25">
      <c r="R157" s="4"/>
    </row>
    <row r="158" spans="18:18" x14ac:dyDescent="0.25">
      <c r="R158" s="4"/>
    </row>
    <row r="159" spans="18:18" x14ac:dyDescent="0.25">
      <c r="R159" s="4"/>
    </row>
    <row r="160" spans="18:18" x14ac:dyDescent="0.25">
      <c r="R160" s="4"/>
    </row>
    <row r="161" spans="18:18" x14ac:dyDescent="0.25">
      <c r="R161" s="4"/>
    </row>
    <row r="162" spans="18:18" x14ac:dyDescent="0.25">
      <c r="R162" s="4"/>
    </row>
    <row r="163" spans="18:18" x14ac:dyDescent="0.25">
      <c r="R163" s="4"/>
    </row>
    <row r="164" spans="18:18" x14ac:dyDescent="0.25">
      <c r="R164" s="4"/>
    </row>
    <row r="165" spans="18:18" x14ac:dyDescent="0.25">
      <c r="R165" s="4"/>
    </row>
    <row r="166" spans="18:18" x14ac:dyDescent="0.25">
      <c r="R166" s="4"/>
    </row>
    <row r="167" spans="18:18" x14ac:dyDescent="0.25">
      <c r="R167" s="4"/>
    </row>
    <row r="168" spans="18:18" x14ac:dyDescent="0.25">
      <c r="R168" s="4"/>
    </row>
    <row r="169" spans="18:18" x14ac:dyDescent="0.25">
      <c r="R169" s="4"/>
    </row>
    <row r="170" spans="18:18" x14ac:dyDescent="0.25">
      <c r="R170" s="4"/>
    </row>
    <row r="171" spans="18:18" x14ac:dyDescent="0.25">
      <c r="R171" s="4"/>
    </row>
    <row r="172" spans="18:18" x14ac:dyDescent="0.25">
      <c r="R172" s="4"/>
    </row>
    <row r="173" spans="18:18" x14ac:dyDescent="0.25">
      <c r="R173" s="4"/>
    </row>
    <row r="174" spans="18:18" x14ac:dyDescent="0.25">
      <c r="R174" s="4"/>
    </row>
    <row r="175" spans="18:18" x14ac:dyDescent="0.25">
      <c r="R175" s="4"/>
    </row>
    <row r="176" spans="18:18" x14ac:dyDescent="0.25">
      <c r="R176" s="4"/>
    </row>
    <row r="177" spans="18:18" x14ac:dyDescent="0.25">
      <c r="R177" s="4"/>
    </row>
    <row r="178" spans="18:18" x14ac:dyDescent="0.25">
      <c r="R178" s="4"/>
    </row>
    <row r="179" spans="18:18" x14ac:dyDescent="0.25">
      <c r="R179" s="4"/>
    </row>
    <row r="180" spans="18:18" x14ac:dyDescent="0.25">
      <c r="R180" s="4"/>
    </row>
    <row r="181" spans="18:18" x14ac:dyDescent="0.25">
      <c r="R181" s="4"/>
    </row>
    <row r="182" spans="18:18" x14ac:dyDescent="0.25">
      <c r="R182" s="4"/>
    </row>
    <row r="183" spans="18:18" x14ac:dyDescent="0.25">
      <c r="R183" s="4"/>
    </row>
    <row r="184" spans="18:18" x14ac:dyDescent="0.25">
      <c r="R184" s="4"/>
    </row>
    <row r="185" spans="18:18" x14ac:dyDescent="0.25">
      <c r="R185" s="4"/>
    </row>
    <row r="186" spans="18:18" x14ac:dyDescent="0.25">
      <c r="R186" s="4"/>
    </row>
    <row r="187" spans="18:18" x14ac:dyDescent="0.25">
      <c r="R187" s="4"/>
    </row>
    <row r="188" spans="18:18" x14ac:dyDescent="0.25">
      <c r="R188" s="4"/>
    </row>
    <row r="189" spans="18:18" x14ac:dyDescent="0.25">
      <c r="R189" s="4"/>
    </row>
    <row r="190" spans="18:18" x14ac:dyDescent="0.25">
      <c r="R190" s="4"/>
    </row>
    <row r="191" spans="18:18" x14ac:dyDescent="0.25">
      <c r="R191" s="4"/>
    </row>
    <row r="192" spans="18:18" x14ac:dyDescent="0.25">
      <c r="R192" s="4"/>
    </row>
    <row r="193" spans="18:18" x14ac:dyDescent="0.25">
      <c r="R193" s="4"/>
    </row>
    <row r="194" spans="18:18" x14ac:dyDescent="0.25">
      <c r="R194" s="4"/>
    </row>
    <row r="195" spans="18:18" x14ac:dyDescent="0.25">
      <c r="R195" s="4"/>
    </row>
    <row r="196" spans="18:18" x14ac:dyDescent="0.25">
      <c r="R196" s="4"/>
    </row>
    <row r="197" spans="18:18" x14ac:dyDescent="0.25">
      <c r="R197" s="4"/>
    </row>
    <row r="198" spans="18:18" x14ac:dyDescent="0.25">
      <c r="R198" s="4"/>
    </row>
    <row r="199" spans="18:18" x14ac:dyDescent="0.25">
      <c r="R199" s="4"/>
    </row>
    <row r="200" spans="18:18" x14ac:dyDescent="0.25">
      <c r="R200" s="4"/>
    </row>
    <row r="201" spans="18:18" x14ac:dyDescent="0.25">
      <c r="R201" s="4"/>
    </row>
    <row r="202" spans="18:18" x14ac:dyDescent="0.25">
      <c r="R202" s="4"/>
    </row>
    <row r="203" spans="18:18" x14ac:dyDescent="0.25">
      <c r="R203" s="4"/>
    </row>
    <row r="204" spans="18:18" x14ac:dyDescent="0.25">
      <c r="R204" s="4"/>
    </row>
    <row r="205" spans="18:18" x14ac:dyDescent="0.25">
      <c r="R205" s="4"/>
    </row>
    <row r="206" spans="18:18" x14ac:dyDescent="0.25">
      <c r="R206" s="4"/>
    </row>
    <row r="207" spans="18:18" x14ac:dyDescent="0.25">
      <c r="R207" s="4"/>
    </row>
    <row r="208" spans="18:18" x14ac:dyDescent="0.25">
      <c r="R208" s="4"/>
    </row>
    <row r="209" spans="18:18" x14ac:dyDescent="0.25">
      <c r="R209" s="4"/>
    </row>
    <row r="210" spans="18:18" x14ac:dyDescent="0.25">
      <c r="R210" s="4"/>
    </row>
    <row r="211" spans="18:18" x14ac:dyDescent="0.25">
      <c r="R211" s="4"/>
    </row>
    <row r="212" spans="18:18" x14ac:dyDescent="0.25">
      <c r="R212" s="4"/>
    </row>
    <row r="213" spans="18:18" x14ac:dyDescent="0.25">
      <c r="R213" s="4"/>
    </row>
    <row r="214" spans="18:18" x14ac:dyDescent="0.25">
      <c r="R214" s="4"/>
    </row>
    <row r="215" spans="18:18" x14ac:dyDescent="0.25">
      <c r="R215" s="4"/>
    </row>
    <row r="216" spans="18:18" x14ac:dyDescent="0.25">
      <c r="R216" s="4"/>
    </row>
    <row r="217" spans="18:18" x14ac:dyDescent="0.25">
      <c r="R217" s="4"/>
    </row>
    <row r="218" spans="18:18" x14ac:dyDescent="0.25">
      <c r="R218" s="4"/>
    </row>
    <row r="219" spans="18:18" x14ac:dyDescent="0.25">
      <c r="R219" s="4"/>
    </row>
    <row r="220" spans="18:18" x14ac:dyDescent="0.25">
      <c r="R220" s="4"/>
    </row>
    <row r="221" spans="18:18" x14ac:dyDescent="0.25">
      <c r="R221" s="4"/>
    </row>
    <row r="222" spans="18:18" x14ac:dyDescent="0.25">
      <c r="R222" s="4"/>
    </row>
    <row r="223" spans="18:18" x14ac:dyDescent="0.25">
      <c r="R223" s="4"/>
    </row>
    <row r="224" spans="18:18" x14ac:dyDescent="0.25">
      <c r="R224" s="4"/>
    </row>
    <row r="225" spans="18:18" x14ac:dyDescent="0.25">
      <c r="R225" s="4"/>
    </row>
    <row r="226" spans="18:18" x14ac:dyDescent="0.25">
      <c r="R226" s="4"/>
    </row>
    <row r="227" spans="18:18" x14ac:dyDescent="0.25">
      <c r="R227" s="4"/>
    </row>
    <row r="228" spans="18:18" x14ac:dyDescent="0.25">
      <c r="R228" s="4"/>
    </row>
    <row r="229" spans="18:18" x14ac:dyDescent="0.25">
      <c r="R229" s="4"/>
    </row>
    <row r="230" spans="18:18" x14ac:dyDescent="0.25">
      <c r="R230" s="4"/>
    </row>
    <row r="231" spans="18:18" x14ac:dyDescent="0.25">
      <c r="R231" s="4"/>
    </row>
    <row r="232" spans="18:18" x14ac:dyDescent="0.25">
      <c r="R232" s="4"/>
    </row>
    <row r="233" spans="18:18" x14ac:dyDescent="0.25">
      <c r="R233" s="4"/>
    </row>
    <row r="234" spans="18:18" x14ac:dyDescent="0.25">
      <c r="R234" s="4"/>
    </row>
    <row r="235" spans="18:18" x14ac:dyDescent="0.25">
      <c r="R235" s="4"/>
    </row>
    <row r="236" spans="18:18" x14ac:dyDescent="0.25">
      <c r="R236" s="4"/>
    </row>
    <row r="237" spans="18:18" x14ac:dyDescent="0.25">
      <c r="R237" s="4"/>
    </row>
    <row r="238" spans="18:18" x14ac:dyDescent="0.25">
      <c r="R238" s="4"/>
    </row>
    <row r="239" spans="18:18" x14ac:dyDescent="0.25">
      <c r="R239" s="4"/>
    </row>
    <row r="240" spans="18:18" x14ac:dyDescent="0.25">
      <c r="R240" s="4"/>
    </row>
    <row r="241" spans="18:18" x14ac:dyDescent="0.25">
      <c r="R241" s="4"/>
    </row>
    <row r="242" spans="18:18" x14ac:dyDescent="0.25">
      <c r="R242" s="4"/>
    </row>
    <row r="243" spans="18:18" x14ac:dyDescent="0.25">
      <c r="R243" s="4"/>
    </row>
    <row r="244" spans="18:18" x14ac:dyDescent="0.25">
      <c r="R244" s="4"/>
    </row>
    <row r="245" spans="18:18" x14ac:dyDescent="0.25">
      <c r="R245" s="4"/>
    </row>
    <row r="246" spans="18:18" x14ac:dyDescent="0.25">
      <c r="R246" s="4"/>
    </row>
    <row r="247" spans="18:18" x14ac:dyDescent="0.25">
      <c r="R247" s="4"/>
    </row>
    <row r="248" spans="18:18" x14ac:dyDescent="0.25">
      <c r="R248" s="4"/>
    </row>
    <row r="249" spans="18:18" x14ac:dyDescent="0.25">
      <c r="R249" s="4"/>
    </row>
    <row r="250" spans="18:18" x14ac:dyDescent="0.25">
      <c r="R250" s="4"/>
    </row>
    <row r="251" spans="18:18" x14ac:dyDescent="0.25">
      <c r="R251" s="4"/>
    </row>
    <row r="252" spans="18:18" x14ac:dyDescent="0.25">
      <c r="R252" s="4"/>
    </row>
    <row r="253" spans="18:18" x14ac:dyDescent="0.25">
      <c r="R253" s="4"/>
    </row>
    <row r="254" spans="18:18" x14ac:dyDescent="0.25">
      <c r="R254" s="4"/>
    </row>
    <row r="255" spans="18:18" x14ac:dyDescent="0.25">
      <c r="R255" s="4"/>
    </row>
    <row r="256" spans="18:18" x14ac:dyDescent="0.25">
      <c r="R256" s="4"/>
    </row>
    <row r="257" spans="18:18" x14ac:dyDescent="0.25">
      <c r="R257" s="4"/>
    </row>
    <row r="258" spans="18:18" x14ac:dyDescent="0.25">
      <c r="R258" s="4"/>
    </row>
    <row r="259" spans="18:18" x14ac:dyDescent="0.25">
      <c r="R259" s="4"/>
    </row>
    <row r="260" spans="18:18" x14ac:dyDescent="0.25">
      <c r="R260" s="4"/>
    </row>
    <row r="261" spans="18:18" x14ac:dyDescent="0.25">
      <c r="R261" s="4"/>
    </row>
    <row r="262" spans="18:18" x14ac:dyDescent="0.25">
      <c r="R262" s="4"/>
    </row>
    <row r="263" spans="18:18" x14ac:dyDescent="0.25">
      <c r="R263" s="4"/>
    </row>
    <row r="264" spans="18:18" x14ac:dyDescent="0.25">
      <c r="R264" s="4"/>
    </row>
    <row r="265" spans="18:18" x14ac:dyDescent="0.25">
      <c r="R265" s="4"/>
    </row>
    <row r="266" spans="18:18" x14ac:dyDescent="0.25">
      <c r="R266" s="4"/>
    </row>
    <row r="267" spans="18:18" x14ac:dyDescent="0.25">
      <c r="R267" s="4"/>
    </row>
    <row r="268" spans="18:18" x14ac:dyDescent="0.25">
      <c r="R268" s="4"/>
    </row>
    <row r="269" spans="18:18" x14ac:dyDescent="0.25">
      <c r="R269" s="4"/>
    </row>
    <row r="270" spans="18:18" x14ac:dyDescent="0.25">
      <c r="R270" s="4"/>
    </row>
    <row r="271" spans="18:18" x14ac:dyDescent="0.25">
      <c r="R271" s="4"/>
    </row>
    <row r="272" spans="18:18" x14ac:dyDescent="0.25">
      <c r="R272" s="4"/>
    </row>
    <row r="273" spans="18:18" x14ac:dyDescent="0.25">
      <c r="R273" s="4"/>
    </row>
    <row r="274" spans="18:18" x14ac:dyDescent="0.25">
      <c r="R274" s="4"/>
    </row>
    <row r="275" spans="18:18" x14ac:dyDescent="0.25">
      <c r="R275" s="4"/>
    </row>
    <row r="276" spans="18:18" x14ac:dyDescent="0.25">
      <c r="R276" s="4"/>
    </row>
    <row r="277" spans="18:18" x14ac:dyDescent="0.25">
      <c r="R277" s="4"/>
    </row>
    <row r="278" spans="18:18" x14ac:dyDescent="0.25">
      <c r="R278" s="4"/>
    </row>
    <row r="279" spans="18:18" x14ac:dyDescent="0.25">
      <c r="R279" s="4"/>
    </row>
    <row r="280" spans="18:18" x14ac:dyDescent="0.25">
      <c r="R280" s="4"/>
    </row>
    <row r="281" spans="18:18" x14ac:dyDescent="0.25">
      <c r="R281" s="4"/>
    </row>
    <row r="282" spans="18:18" x14ac:dyDescent="0.25">
      <c r="R282" s="4"/>
    </row>
    <row r="283" spans="18:18" x14ac:dyDescent="0.25">
      <c r="R283" s="4"/>
    </row>
    <row r="284" spans="18:18" x14ac:dyDescent="0.25">
      <c r="R284" s="4"/>
    </row>
    <row r="285" spans="18:18" x14ac:dyDescent="0.25">
      <c r="R285" s="4"/>
    </row>
    <row r="286" spans="18:18" x14ac:dyDescent="0.25">
      <c r="R286" s="4"/>
    </row>
    <row r="287" spans="18:18" x14ac:dyDescent="0.25">
      <c r="R287" s="4"/>
    </row>
    <row r="288" spans="18:18" x14ac:dyDescent="0.25">
      <c r="R288" s="4"/>
    </row>
    <row r="289" spans="18:18" x14ac:dyDescent="0.25">
      <c r="R289" s="4"/>
    </row>
    <row r="290" spans="18:18" x14ac:dyDescent="0.25">
      <c r="R290" s="4"/>
    </row>
    <row r="291" spans="18:18" x14ac:dyDescent="0.25">
      <c r="R291" s="4"/>
    </row>
    <row r="292" spans="18:18" x14ac:dyDescent="0.25">
      <c r="R292" s="4"/>
    </row>
    <row r="293" spans="18:18" x14ac:dyDescent="0.25">
      <c r="R293" s="4"/>
    </row>
    <row r="294" spans="18:18" x14ac:dyDescent="0.25">
      <c r="R294" s="4"/>
    </row>
    <row r="295" spans="18:18" x14ac:dyDescent="0.25">
      <c r="R295" s="4"/>
    </row>
    <row r="296" spans="18:18" x14ac:dyDescent="0.25">
      <c r="R296" s="4"/>
    </row>
    <row r="297" spans="18:18" x14ac:dyDescent="0.25">
      <c r="R297" s="4"/>
    </row>
    <row r="298" spans="18:18" x14ac:dyDescent="0.25">
      <c r="R298" s="4"/>
    </row>
    <row r="299" spans="18:18" x14ac:dyDescent="0.25">
      <c r="R299" s="4"/>
    </row>
    <row r="300" spans="18:18" x14ac:dyDescent="0.25">
      <c r="R300" s="4"/>
    </row>
    <row r="301" spans="18:18" x14ac:dyDescent="0.25">
      <c r="R301" s="4"/>
    </row>
    <row r="302" spans="18:18" x14ac:dyDescent="0.25">
      <c r="R302" s="4"/>
    </row>
    <row r="303" spans="18:18" x14ac:dyDescent="0.25">
      <c r="R303" s="4"/>
    </row>
    <row r="304" spans="18:18" x14ac:dyDescent="0.25">
      <c r="R304" s="4"/>
    </row>
    <row r="305" spans="18:18" x14ac:dyDescent="0.25">
      <c r="R305" s="4"/>
    </row>
    <row r="306" spans="18:18" x14ac:dyDescent="0.25">
      <c r="R306" s="4"/>
    </row>
    <row r="307" spans="18:18" x14ac:dyDescent="0.25">
      <c r="R307" s="4"/>
    </row>
    <row r="308" spans="18:18" x14ac:dyDescent="0.25">
      <c r="R308" s="4"/>
    </row>
    <row r="309" spans="18:18" x14ac:dyDescent="0.25">
      <c r="R309" s="4"/>
    </row>
    <row r="310" spans="18:18" x14ac:dyDescent="0.25">
      <c r="R310" s="4"/>
    </row>
    <row r="311" spans="18:18" x14ac:dyDescent="0.25">
      <c r="R311" s="4"/>
    </row>
    <row r="312" spans="18:18" x14ac:dyDescent="0.25">
      <c r="R312" s="4"/>
    </row>
    <row r="313" spans="18:18" x14ac:dyDescent="0.25">
      <c r="R313" s="4"/>
    </row>
    <row r="314" spans="18:18" x14ac:dyDescent="0.25">
      <c r="R314" s="4"/>
    </row>
    <row r="315" spans="18:18" x14ac:dyDescent="0.25">
      <c r="R315" s="4"/>
    </row>
    <row r="316" spans="18:18" x14ac:dyDescent="0.25">
      <c r="R316" s="4"/>
    </row>
    <row r="317" spans="18:18" x14ac:dyDescent="0.25">
      <c r="R317" s="4"/>
    </row>
    <row r="318" spans="18:18" x14ac:dyDescent="0.25">
      <c r="R318" s="4"/>
    </row>
    <row r="319" spans="18:18" x14ac:dyDescent="0.25">
      <c r="R319" s="4"/>
    </row>
    <row r="320" spans="18:18" x14ac:dyDescent="0.25">
      <c r="R320" s="4"/>
    </row>
    <row r="321" spans="18:18" x14ac:dyDescent="0.25">
      <c r="R321" s="4"/>
    </row>
    <row r="322" spans="18:18" x14ac:dyDescent="0.25">
      <c r="R322" s="4"/>
    </row>
    <row r="323" spans="18:18" x14ac:dyDescent="0.25">
      <c r="R323" s="4"/>
    </row>
    <row r="324" spans="18:18" x14ac:dyDescent="0.25">
      <c r="R324" s="4"/>
    </row>
    <row r="325" spans="18:18" x14ac:dyDescent="0.25">
      <c r="R325" s="4"/>
    </row>
    <row r="326" spans="18:18" x14ac:dyDescent="0.25">
      <c r="R326" s="4"/>
    </row>
    <row r="327" spans="18:18" x14ac:dyDescent="0.25">
      <c r="R327" s="4"/>
    </row>
    <row r="328" spans="18:18" x14ac:dyDescent="0.25">
      <c r="R328" s="4"/>
    </row>
    <row r="329" spans="18:18" x14ac:dyDescent="0.25">
      <c r="R329" s="4"/>
    </row>
    <row r="330" spans="18:18" x14ac:dyDescent="0.25">
      <c r="R330" s="4"/>
    </row>
    <row r="331" spans="18:18" x14ac:dyDescent="0.25">
      <c r="R331" s="4"/>
    </row>
    <row r="332" spans="18:18" x14ac:dyDescent="0.25">
      <c r="R332" s="4"/>
    </row>
    <row r="333" spans="18:18" x14ac:dyDescent="0.25">
      <c r="R333" s="4"/>
    </row>
    <row r="334" spans="18:18" x14ac:dyDescent="0.25">
      <c r="R334" s="4"/>
    </row>
    <row r="335" spans="18:18" x14ac:dyDescent="0.25">
      <c r="R335" s="4"/>
    </row>
    <row r="336" spans="18:18" x14ac:dyDescent="0.25">
      <c r="R336" s="4"/>
    </row>
    <row r="337" spans="18:18" x14ac:dyDescent="0.25">
      <c r="R337" s="4"/>
    </row>
    <row r="338" spans="18:18" x14ac:dyDescent="0.25">
      <c r="R338" s="4"/>
    </row>
    <row r="339" spans="18:18" x14ac:dyDescent="0.25">
      <c r="R339" s="4"/>
    </row>
    <row r="340" spans="18:18" x14ac:dyDescent="0.25">
      <c r="R340" s="4"/>
    </row>
    <row r="341" spans="18:18" x14ac:dyDescent="0.25">
      <c r="R341" s="4"/>
    </row>
    <row r="342" spans="18:18" x14ac:dyDescent="0.25">
      <c r="R342" s="4"/>
    </row>
    <row r="343" spans="18:18" x14ac:dyDescent="0.25">
      <c r="R343" s="4"/>
    </row>
    <row r="344" spans="18:18" x14ac:dyDescent="0.25">
      <c r="R344" s="4"/>
    </row>
    <row r="345" spans="18:18" x14ac:dyDescent="0.25">
      <c r="R345" s="4"/>
    </row>
    <row r="346" spans="18:18" x14ac:dyDescent="0.25">
      <c r="R346" s="4"/>
    </row>
    <row r="347" spans="18:18" x14ac:dyDescent="0.25">
      <c r="R347" s="4"/>
    </row>
    <row r="348" spans="18:18" x14ac:dyDescent="0.25">
      <c r="R348" s="4"/>
    </row>
    <row r="349" spans="18:18" x14ac:dyDescent="0.25">
      <c r="R349" s="4"/>
    </row>
    <row r="350" spans="18:18" x14ac:dyDescent="0.25">
      <c r="R350" s="4"/>
    </row>
    <row r="351" spans="18:18" x14ac:dyDescent="0.25">
      <c r="R351" s="4"/>
    </row>
    <row r="352" spans="18:18" x14ac:dyDescent="0.25">
      <c r="R352" s="4"/>
    </row>
    <row r="353" spans="18:18" x14ac:dyDescent="0.25">
      <c r="R353" s="4"/>
    </row>
    <row r="354" spans="18:18" x14ac:dyDescent="0.25">
      <c r="R354" s="4"/>
    </row>
    <row r="355" spans="18:18" x14ac:dyDescent="0.25">
      <c r="R355" s="4"/>
    </row>
    <row r="356" spans="18:18" x14ac:dyDescent="0.25">
      <c r="R356" s="4"/>
    </row>
    <row r="357" spans="18:18" x14ac:dyDescent="0.25">
      <c r="R357" s="4"/>
    </row>
    <row r="358" spans="18:18" x14ac:dyDescent="0.25">
      <c r="R358" s="4"/>
    </row>
    <row r="359" spans="18:18" x14ac:dyDescent="0.25">
      <c r="R359" s="4"/>
    </row>
    <row r="360" spans="18:18" x14ac:dyDescent="0.25">
      <c r="R360" s="4"/>
    </row>
    <row r="361" spans="18:18" x14ac:dyDescent="0.25">
      <c r="R361" s="4"/>
    </row>
    <row r="362" spans="18:18" x14ac:dyDescent="0.25">
      <c r="R362" s="4"/>
    </row>
    <row r="363" spans="18:18" x14ac:dyDescent="0.25">
      <c r="R363" s="4"/>
    </row>
    <row r="364" spans="18:18" x14ac:dyDescent="0.25">
      <c r="R364" s="4"/>
    </row>
    <row r="365" spans="18:18" x14ac:dyDescent="0.25">
      <c r="R365" s="4"/>
    </row>
    <row r="366" spans="18:18" x14ac:dyDescent="0.25">
      <c r="R366" s="4"/>
    </row>
    <row r="367" spans="18:18" x14ac:dyDescent="0.25">
      <c r="R367" s="4"/>
    </row>
    <row r="368" spans="18:18" x14ac:dyDescent="0.25">
      <c r="R368" s="4"/>
    </row>
    <row r="369" spans="18:18" x14ac:dyDescent="0.25">
      <c r="R369" s="4"/>
    </row>
    <row r="370" spans="18:18" x14ac:dyDescent="0.25">
      <c r="R370" s="4"/>
    </row>
    <row r="371" spans="18:18" x14ac:dyDescent="0.25">
      <c r="R371" s="4"/>
    </row>
    <row r="372" spans="18:18" x14ac:dyDescent="0.25">
      <c r="R372" s="4"/>
    </row>
    <row r="373" spans="18:18" x14ac:dyDescent="0.25">
      <c r="R373" s="4"/>
    </row>
    <row r="374" spans="18:18" x14ac:dyDescent="0.25">
      <c r="R374" s="4"/>
    </row>
    <row r="375" spans="18:18" x14ac:dyDescent="0.25">
      <c r="R375" s="4"/>
    </row>
    <row r="376" spans="18:18" x14ac:dyDescent="0.25">
      <c r="R376" s="4"/>
    </row>
    <row r="377" spans="18:18" x14ac:dyDescent="0.25">
      <c r="R377" s="4"/>
    </row>
    <row r="378" spans="18:18" x14ac:dyDescent="0.25">
      <c r="R378" s="4"/>
    </row>
    <row r="379" spans="18:18" x14ac:dyDescent="0.25">
      <c r="R379" s="4"/>
    </row>
    <row r="380" spans="18:18" x14ac:dyDescent="0.25">
      <c r="R380" s="4"/>
    </row>
    <row r="381" spans="18:18" x14ac:dyDescent="0.25">
      <c r="R381" s="4"/>
    </row>
    <row r="382" spans="18:18" x14ac:dyDescent="0.25">
      <c r="R382" s="4"/>
    </row>
    <row r="383" spans="18:18" x14ac:dyDescent="0.25">
      <c r="R383" s="4"/>
    </row>
    <row r="384" spans="18:18" x14ac:dyDescent="0.25">
      <c r="R384" s="4"/>
    </row>
    <row r="385" spans="18:18" x14ac:dyDescent="0.25">
      <c r="R385" s="4"/>
    </row>
    <row r="386" spans="18:18" x14ac:dyDescent="0.25">
      <c r="R386" s="4"/>
    </row>
    <row r="387" spans="18:18" x14ac:dyDescent="0.25">
      <c r="R387" s="4"/>
    </row>
    <row r="388" spans="18:18" x14ac:dyDescent="0.25">
      <c r="R388" s="4"/>
    </row>
    <row r="389" spans="18:18" x14ac:dyDescent="0.25">
      <c r="R389" s="4"/>
    </row>
    <row r="390" spans="18:18" x14ac:dyDescent="0.25">
      <c r="R390" s="4"/>
    </row>
    <row r="391" spans="18:18" x14ac:dyDescent="0.25">
      <c r="R391" s="4"/>
    </row>
    <row r="392" spans="18:18" x14ac:dyDescent="0.25">
      <c r="R392" s="4"/>
    </row>
    <row r="393" spans="18:18" x14ac:dyDescent="0.25">
      <c r="R393" s="4"/>
    </row>
    <row r="394" spans="18:18" x14ac:dyDescent="0.25">
      <c r="R394" s="4"/>
    </row>
    <row r="395" spans="18:18" x14ac:dyDescent="0.25">
      <c r="R395" s="4"/>
    </row>
    <row r="396" spans="18:18" x14ac:dyDescent="0.25">
      <c r="R396" s="4"/>
    </row>
    <row r="397" spans="18:18" x14ac:dyDescent="0.25">
      <c r="R397" s="4"/>
    </row>
    <row r="398" spans="18:18" x14ac:dyDescent="0.25">
      <c r="R398" s="4"/>
    </row>
    <row r="399" spans="18:18" x14ac:dyDescent="0.25">
      <c r="R399" s="4"/>
    </row>
    <row r="400" spans="18:18" x14ac:dyDescent="0.25">
      <c r="R400" s="4"/>
    </row>
    <row r="401" spans="18:18" x14ac:dyDescent="0.25">
      <c r="R401" s="4"/>
    </row>
    <row r="402" spans="18:18" x14ac:dyDescent="0.25">
      <c r="R402" s="4"/>
    </row>
    <row r="403" spans="18:18" x14ac:dyDescent="0.25">
      <c r="R403" s="4"/>
    </row>
    <row r="404" spans="18:18" x14ac:dyDescent="0.25">
      <c r="R404" s="4"/>
    </row>
    <row r="405" spans="18:18" x14ac:dyDescent="0.25">
      <c r="R405" s="4"/>
    </row>
    <row r="406" spans="18:18" x14ac:dyDescent="0.25">
      <c r="R406" s="4"/>
    </row>
    <row r="407" spans="18:18" x14ac:dyDescent="0.25">
      <c r="R407" s="4"/>
    </row>
    <row r="408" spans="18:18" x14ac:dyDescent="0.25">
      <c r="R408" s="4"/>
    </row>
    <row r="409" spans="18:18" x14ac:dyDescent="0.25">
      <c r="R409" s="4"/>
    </row>
    <row r="410" spans="18:18" x14ac:dyDescent="0.25">
      <c r="R410" s="4"/>
    </row>
    <row r="411" spans="18:18" x14ac:dyDescent="0.25">
      <c r="R411" s="4"/>
    </row>
    <row r="412" spans="18:18" x14ac:dyDescent="0.25">
      <c r="R412" s="4"/>
    </row>
    <row r="413" spans="18:18" x14ac:dyDescent="0.25">
      <c r="R413" s="4"/>
    </row>
    <row r="414" spans="18:18" x14ac:dyDescent="0.25">
      <c r="R414" s="4"/>
    </row>
    <row r="415" spans="18:18" x14ac:dyDescent="0.25">
      <c r="R415" s="4"/>
    </row>
    <row r="416" spans="18:18" x14ac:dyDescent="0.25">
      <c r="R416" s="4"/>
    </row>
    <row r="417" spans="18:18" x14ac:dyDescent="0.25">
      <c r="R417" s="4"/>
    </row>
    <row r="418" spans="18:18" x14ac:dyDescent="0.25">
      <c r="R418" s="4"/>
    </row>
    <row r="419" spans="18:18" x14ac:dyDescent="0.25">
      <c r="R419" s="4"/>
    </row>
    <row r="420" spans="18:18" x14ac:dyDescent="0.25">
      <c r="R420" s="4"/>
    </row>
    <row r="421" spans="18:18" x14ac:dyDescent="0.25">
      <c r="R421" s="4"/>
    </row>
    <row r="422" spans="18:18" x14ac:dyDescent="0.25">
      <c r="R422" s="4"/>
    </row>
    <row r="423" spans="18:18" x14ac:dyDescent="0.25">
      <c r="R423" s="4"/>
    </row>
    <row r="424" spans="18:18" x14ac:dyDescent="0.25">
      <c r="R424" s="4"/>
    </row>
    <row r="425" spans="18:18" x14ac:dyDescent="0.25">
      <c r="R425" s="4"/>
    </row>
    <row r="426" spans="18:18" x14ac:dyDescent="0.25">
      <c r="R426" s="4"/>
    </row>
    <row r="427" spans="18:18" x14ac:dyDescent="0.25">
      <c r="R427" s="4"/>
    </row>
    <row r="428" spans="18:18" x14ac:dyDescent="0.25">
      <c r="R428" s="4"/>
    </row>
    <row r="429" spans="18:18" x14ac:dyDescent="0.25">
      <c r="R429" s="4"/>
    </row>
    <row r="430" spans="18:18" x14ac:dyDescent="0.25">
      <c r="R430" s="4"/>
    </row>
    <row r="431" spans="18:18" x14ac:dyDescent="0.25">
      <c r="R431" s="4"/>
    </row>
    <row r="432" spans="18:18" x14ac:dyDescent="0.25">
      <c r="R432" s="4"/>
    </row>
    <row r="433" spans="18:18" x14ac:dyDescent="0.25">
      <c r="R433" s="4"/>
    </row>
    <row r="434" spans="18:18" x14ac:dyDescent="0.25">
      <c r="R434" s="4"/>
    </row>
    <row r="435" spans="18:18" x14ac:dyDescent="0.25">
      <c r="R435" s="4"/>
    </row>
    <row r="436" spans="18:18" x14ac:dyDescent="0.25">
      <c r="R436" s="4"/>
    </row>
    <row r="437" spans="18:18" x14ac:dyDescent="0.25">
      <c r="R437" s="4"/>
    </row>
    <row r="438" spans="18:18" x14ac:dyDescent="0.25">
      <c r="R438" s="4"/>
    </row>
    <row r="439" spans="18:18" x14ac:dyDescent="0.25">
      <c r="R439" s="4"/>
    </row>
    <row r="440" spans="18:18" x14ac:dyDescent="0.25">
      <c r="R440" s="4"/>
    </row>
    <row r="441" spans="18:18" x14ac:dyDescent="0.25">
      <c r="R441" s="4"/>
    </row>
    <row r="442" spans="18:18" x14ac:dyDescent="0.25">
      <c r="R442" s="4"/>
    </row>
  </sheetData>
  <printOptions headings="1"/>
  <pageMargins left="0.7" right="0.7" top="0.75" bottom="0.75" header="0.3" footer="0.3"/>
  <pageSetup scale="68" fitToHeight="0" orientation="landscape" r:id="rId1"/>
  <headerFooter>
    <oddFooter>&amp;L&amp;D&amp;C&amp;T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983AF-F070-4BB3-8224-056FFDC7040F}">
  <sheetPr>
    <pageSetUpPr fitToPage="1"/>
  </sheetPr>
  <dimension ref="A2:P33"/>
  <sheetViews>
    <sheetView workbookViewId="0">
      <selection activeCell="J4" sqref="J4"/>
    </sheetView>
  </sheetViews>
  <sheetFormatPr defaultRowHeight="15" x14ac:dyDescent="0.25"/>
  <cols>
    <col min="1" max="1" width="9.140625" style="45"/>
    <col min="2" max="2" width="12.5703125" style="45" customWidth="1"/>
    <col min="3" max="3" width="12.5703125" customWidth="1"/>
    <col min="4" max="4" width="12.5703125" style="45" customWidth="1"/>
    <col min="6" max="6" width="9.140625" style="45"/>
    <col min="7" max="7" width="10.85546875" style="45" bestFit="1" customWidth="1"/>
    <col min="9" max="9" width="10.85546875" style="45" bestFit="1" customWidth="1"/>
  </cols>
  <sheetData>
    <row r="2" spans="1:16" x14ac:dyDescent="0.25">
      <c r="A2" s="84" t="s">
        <v>139</v>
      </c>
      <c r="B2" s="84"/>
      <c r="D2" s="46" t="s">
        <v>46</v>
      </c>
      <c r="F2" s="84" t="s">
        <v>138</v>
      </c>
      <c r="G2" s="84"/>
      <c r="I2" s="46" t="s">
        <v>46</v>
      </c>
    </row>
    <row r="3" spans="1:16" x14ac:dyDescent="0.25">
      <c r="P3" s="18">
        <f>+N3-N11</f>
        <v>0</v>
      </c>
    </row>
    <row r="4" spans="1:16" x14ac:dyDescent="0.25">
      <c r="A4" s="45" t="s">
        <v>44</v>
      </c>
      <c r="B4" s="47">
        <v>7766</v>
      </c>
      <c r="C4" s="13">
        <f>+B4/$B$17</f>
        <v>1.2823243656490301E-2</v>
      </c>
      <c r="D4" s="47">
        <v>567</v>
      </c>
      <c r="E4" s="13">
        <f>+D4/$D$17</f>
        <v>4.7452860980692459E-3</v>
      </c>
      <c r="G4" s="47">
        <v>3897</v>
      </c>
      <c r="H4" s="13">
        <f>+G4/$G$17</f>
        <v>7.2128465294307087E-3</v>
      </c>
      <c r="I4" s="47">
        <v>4061</v>
      </c>
      <c r="J4" s="13">
        <f>+I4/$D$17</f>
        <v>3.3986960924619412E-2</v>
      </c>
      <c r="L4" s="19"/>
      <c r="P4" s="18">
        <f>+N10-N4</f>
        <v>0</v>
      </c>
    </row>
    <row r="5" spans="1:16" x14ac:dyDescent="0.25">
      <c r="A5" s="45" t="s">
        <v>5</v>
      </c>
      <c r="B5" s="47">
        <v>582</v>
      </c>
      <c r="C5" s="13">
        <f t="shared" ref="C5:C15" si="0">+B5/$B$17</f>
        <v>9.6100023281964404E-4</v>
      </c>
      <c r="D5" s="47">
        <v>169</v>
      </c>
      <c r="E5" s="13">
        <f t="shared" ref="E5:E15" si="1">+D5/$D$17</f>
        <v>1.4143798070082939E-3</v>
      </c>
      <c r="G5" s="47">
        <v>0</v>
      </c>
      <c r="H5" s="13">
        <f t="shared" ref="H5:H15" si="2">+G5/$G$17</f>
        <v>0</v>
      </c>
      <c r="I5" s="47">
        <v>920</v>
      </c>
      <c r="J5" s="13">
        <f t="shared" ref="J5:J15" si="3">+I5/$D$17</f>
        <v>7.6995823813469245E-3</v>
      </c>
      <c r="L5" s="19"/>
    </row>
    <row r="6" spans="1:16" x14ac:dyDescent="0.25">
      <c r="A6" s="45" t="s">
        <v>7</v>
      </c>
      <c r="B6" s="47">
        <v>10135</v>
      </c>
      <c r="C6" s="13">
        <f t="shared" si="0"/>
        <v>1.6734943916885039E-2</v>
      </c>
      <c r="D6" s="47">
        <v>1490</v>
      </c>
      <c r="E6" s="13">
        <f t="shared" si="1"/>
        <v>1.246997581326839E-2</v>
      </c>
      <c r="G6" s="47">
        <v>6315</v>
      </c>
      <c r="H6" s="13">
        <f t="shared" si="2"/>
        <v>1.1688253998808039E-2</v>
      </c>
      <c r="I6" s="47">
        <v>1318</v>
      </c>
      <c r="J6" s="13">
        <f t="shared" si="3"/>
        <v>1.1030488672407877E-2</v>
      </c>
      <c r="L6" s="19"/>
    </row>
    <row r="7" spans="1:16" x14ac:dyDescent="0.25">
      <c r="A7" s="45" t="s">
        <v>8</v>
      </c>
      <c r="B7" s="47">
        <v>251355</v>
      </c>
      <c r="C7" s="13">
        <f t="shared" si="0"/>
        <v>0.41503816756079315</v>
      </c>
      <c r="D7" s="47">
        <v>47082</v>
      </c>
      <c r="E7" s="13">
        <f t="shared" si="1"/>
        <v>0.39403449747671293</v>
      </c>
      <c r="G7" s="47">
        <v>253713</v>
      </c>
      <c r="H7" s="13">
        <f t="shared" si="2"/>
        <v>0.46959018001576941</v>
      </c>
      <c r="I7" s="47">
        <v>45133</v>
      </c>
      <c r="J7" s="13">
        <f t="shared" si="3"/>
        <v>0.37772309958405514</v>
      </c>
      <c r="L7" s="19"/>
    </row>
    <row r="8" spans="1:16" x14ac:dyDescent="0.25">
      <c r="A8" s="45" t="s">
        <v>9</v>
      </c>
      <c r="B8" s="47">
        <v>56555</v>
      </c>
      <c r="C8" s="13">
        <f t="shared" si="0"/>
        <v>9.3383794101572104E-2</v>
      </c>
      <c r="D8" s="47">
        <v>16447</v>
      </c>
      <c r="E8" s="13">
        <f t="shared" si="1"/>
        <v>0.13764677328914443</v>
      </c>
      <c r="G8" s="47">
        <v>47320</v>
      </c>
      <c r="H8" s="13">
        <f t="shared" si="2"/>
        <v>8.7583242949104731E-2</v>
      </c>
      <c r="I8" s="47">
        <v>14747</v>
      </c>
      <c r="J8" s="13">
        <f t="shared" si="3"/>
        <v>0.12341928410622076</v>
      </c>
      <c r="L8" s="19"/>
    </row>
    <row r="9" spans="1:16" x14ac:dyDescent="0.25">
      <c r="A9" s="45" t="s">
        <v>10</v>
      </c>
      <c r="B9" s="47">
        <v>63428</v>
      </c>
      <c r="C9" s="13">
        <f t="shared" si="0"/>
        <v>0.10473251334584946</v>
      </c>
      <c r="D9" s="47">
        <v>10555</v>
      </c>
      <c r="E9" s="13">
        <f t="shared" si="1"/>
        <v>8.8335969603387812E-2</v>
      </c>
      <c r="G9" s="47">
        <v>49319</v>
      </c>
      <c r="H9" s="13">
        <f t="shared" si="2"/>
        <v>9.1283135228379039E-2</v>
      </c>
      <c r="I9" s="47">
        <v>9887</v>
      </c>
      <c r="J9" s="13">
        <f t="shared" si="3"/>
        <v>8.2745403265627224E-2</v>
      </c>
      <c r="L9" s="19"/>
    </row>
    <row r="10" spans="1:16" x14ac:dyDescent="0.25">
      <c r="A10" s="45" t="s">
        <v>11</v>
      </c>
      <c r="B10" s="47">
        <v>29558</v>
      </c>
      <c r="C10" s="13">
        <f t="shared" si="0"/>
        <v>4.8806262683304187E-2</v>
      </c>
      <c r="D10" s="47">
        <v>4427</v>
      </c>
      <c r="E10" s="13">
        <f t="shared" si="1"/>
        <v>3.705005565459004E-2</v>
      </c>
      <c r="G10" s="47">
        <v>21227</v>
      </c>
      <c r="H10" s="13">
        <f t="shared" si="2"/>
        <v>3.9288450931543664E-2</v>
      </c>
      <c r="I10" s="47">
        <v>4317</v>
      </c>
      <c r="J10" s="13">
        <f t="shared" si="3"/>
        <v>3.612945341334204E-2</v>
      </c>
      <c r="L10" s="19"/>
    </row>
    <row r="11" spans="1:16" x14ac:dyDescent="0.25">
      <c r="A11" s="45" t="s">
        <v>12</v>
      </c>
      <c r="B11" s="47">
        <v>11007</v>
      </c>
      <c r="C11" s="13">
        <f t="shared" si="0"/>
        <v>1.8174793062965329E-2</v>
      </c>
      <c r="D11" s="47">
        <v>1774</v>
      </c>
      <c r="E11" s="13">
        <f t="shared" si="1"/>
        <v>1.4846803417945049E-2</v>
      </c>
      <c r="G11" s="47">
        <v>10485</v>
      </c>
      <c r="H11" s="13">
        <f t="shared" si="2"/>
        <v>1.9406388468329736E-2</v>
      </c>
      <c r="I11" s="47">
        <v>1633</v>
      </c>
      <c r="J11" s="13">
        <f t="shared" si="3"/>
        <v>1.3666758726890792E-2</v>
      </c>
      <c r="L11" s="19"/>
    </row>
    <row r="12" spans="1:16" x14ac:dyDescent="0.25">
      <c r="A12" s="45" t="s">
        <v>13</v>
      </c>
      <c r="B12" s="47">
        <v>12440</v>
      </c>
      <c r="C12" s="13">
        <f t="shared" si="0"/>
        <v>2.0540967175732599E-2</v>
      </c>
      <c r="D12" s="47">
        <v>2675</v>
      </c>
      <c r="E12" s="13">
        <f t="shared" si="1"/>
        <v>2.2387372684894592E-2</v>
      </c>
      <c r="G12" s="47">
        <v>13326</v>
      </c>
      <c r="H12" s="13">
        <f t="shared" si="2"/>
        <v>2.4664714614111787E-2</v>
      </c>
      <c r="I12" s="47">
        <v>2331</v>
      </c>
      <c r="J12" s="13">
        <f t="shared" si="3"/>
        <v>1.9508398403173567E-2</v>
      </c>
      <c r="L12" s="19"/>
    </row>
    <row r="13" spans="1:16" x14ac:dyDescent="0.25">
      <c r="A13" s="45" t="s">
        <v>14</v>
      </c>
      <c r="B13" s="47">
        <v>136657</v>
      </c>
      <c r="C13" s="13">
        <f t="shared" si="0"/>
        <v>0.22564846875675962</v>
      </c>
      <c r="D13" s="47">
        <v>27983</v>
      </c>
      <c r="E13" s="13">
        <f t="shared" si="1"/>
        <v>0.23419284106220761</v>
      </c>
      <c r="G13" s="47">
        <v>119517</v>
      </c>
      <c r="H13" s="13">
        <f t="shared" si="2"/>
        <v>0.22121061808005391</v>
      </c>
      <c r="I13" s="47">
        <v>25260</v>
      </c>
      <c r="J13" s="13">
        <f t="shared" si="3"/>
        <v>0.21140375103567752</v>
      </c>
      <c r="L13" s="19"/>
    </row>
    <row r="14" spans="1:16" x14ac:dyDescent="0.25">
      <c r="A14" s="45" t="s">
        <v>15</v>
      </c>
      <c r="B14" s="47">
        <v>16363</v>
      </c>
      <c r="C14" s="13">
        <f t="shared" si="0"/>
        <v>2.7018637129944734E-2</v>
      </c>
      <c r="D14" s="47">
        <v>5229</v>
      </c>
      <c r="E14" s="13">
        <f t="shared" si="1"/>
        <v>4.3762082904416383E-2</v>
      </c>
      <c r="G14" s="47">
        <v>15167</v>
      </c>
      <c r="H14" s="13">
        <f t="shared" si="2"/>
        <v>2.8072169184468965E-2</v>
      </c>
      <c r="I14" s="47">
        <f>3000-607</f>
        <v>2393</v>
      </c>
      <c r="J14" s="13">
        <f t="shared" si="3"/>
        <v>2.0027283302786077E-2</v>
      </c>
      <c r="L14" s="19"/>
      <c r="N14" s="45"/>
    </row>
    <row r="15" spans="1:16" x14ac:dyDescent="0.25">
      <c r="A15" s="45" t="s">
        <v>45</v>
      </c>
      <c r="B15" s="47">
        <v>9773</v>
      </c>
      <c r="C15" s="13">
        <f t="shared" si="0"/>
        <v>1.6137208376883816E-2</v>
      </c>
      <c r="D15" s="47">
        <v>1089</v>
      </c>
      <c r="E15" s="13">
        <f t="shared" si="1"/>
        <v>9.1139621883552183E-3</v>
      </c>
      <c r="G15" s="47">
        <v>0</v>
      </c>
      <c r="H15" s="13">
        <f t="shared" si="2"/>
        <v>0</v>
      </c>
      <c r="I15" s="47">
        <v>0</v>
      </c>
      <c r="J15" s="13">
        <f t="shared" si="3"/>
        <v>0</v>
      </c>
      <c r="L15" s="19"/>
    </row>
    <row r="17" spans="1:12" x14ac:dyDescent="0.25">
      <c r="B17" s="47">
        <f>SUM(B4:B16)</f>
        <v>605619</v>
      </c>
      <c r="C17" s="14">
        <f>SUM(C4:C16)</f>
        <v>1</v>
      </c>
      <c r="D17" s="47">
        <f t="shared" ref="D17:F17" si="4">SUM(D4:D16)</f>
        <v>119487</v>
      </c>
      <c r="E17" s="14">
        <f t="shared" si="4"/>
        <v>1</v>
      </c>
      <c r="F17" s="47">
        <f t="shared" si="4"/>
        <v>0</v>
      </c>
      <c r="G17" s="47">
        <f>SUM(G4:G16)</f>
        <v>540286</v>
      </c>
      <c r="H17" s="14">
        <f>SUM(H4:H16)</f>
        <v>1</v>
      </c>
      <c r="I17" s="47">
        <f t="shared" ref="I17:J17" si="5">SUM(I4:I16)</f>
        <v>112000</v>
      </c>
      <c r="J17" s="14">
        <f t="shared" si="5"/>
        <v>0.93734046381614722</v>
      </c>
      <c r="L17" s="14"/>
    </row>
    <row r="22" spans="1:12" x14ac:dyDescent="0.25">
      <c r="A22" s="45" t="s">
        <v>118</v>
      </c>
    </row>
    <row r="23" spans="1:12" x14ac:dyDescent="0.25">
      <c r="A23" s="45" t="s">
        <v>49</v>
      </c>
    </row>
    <row r="33" spans="3:3" x14ac:dyDescent="0.25">
      <c r="C33" s="19">
        <f>SUM(C6:C32)</f>
        <v>1.9862157561106899</v>
      </c>
    </row>
  </sheetData>
  <mergeCells count="2">
    <mergeCell ref="F2:G2"/>
    <mergeCell ref="A2:B2"/>
  </mergeCells>
  <printOptions headings="1" gridLines="1"/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EB9D0-C3B5-491E-AED4-58FF3B3D6DE9}">
  <sheetPr>
    <pageSetUpPr fitToPage="1"/>
  </sheetPr>
  <dimension ref="A1:Q30"/>
  <sheetViews>
    <sheetView topLeftCell="A4" workbookViewId="0">
      <selection activeCell="B20" sqref="B20"/>
    </sheetView>
  </sheetViews>
  <sheetFormatPr defaultRowHeight="15" x14ac:dyDescent="0.25"/>
  <cols>
    <col min="1" max="1" width="37.5703125" style="2" customWidth="1"/>
    <col min="2" max="2" width="11" style="2" bestFit="1" customWidth="1"/>
    <col min="3" max="3" width="11" style="48" bestFit="1" customWidth="1"/>
    <col min="4" max="15" width="10" customWidth="1"/>
    <col min="17" max="17" width="9.85546875" bestFit="1" customWidth="1"/>
  </cols>
  <sheetData>
    <row r="1" spans="1:17" x14ac:dyDescent="0.25">
      <c r="A1" s="2" t="s">
        <v>0</v>
      </c>
    </row>
    <row r="2" spans="1:17" x14ac:dyDescent="0.25">
      <c r="A2" s="2" t="s">
        <v>43</v>
      </c>
      <c r="H2" s="17"/>
    </row>
    <row r="3" spans="1:17" x14ac:dyDescent="0.25">
      <c r="A3" s="3">
        <v>46203</v>
      </c>
      <c r="B3" s="3"/>
      <c r="C3" s="49"/>
      <c r="P3" s="18"/>
    </row>
    <row r="4" spans="1:17" x14ac:dyDescent="0.25">
      <c r="P4" s="18"/>
    </row>
    <row r="5" spans="1:17" x14ac:dyDescent="0.25">
      <c r="A5" s="2" t="s">
        <v>146</v>
      </c>
      <c r="B5" s="16" t="s">
        <v>70</v>
      </c>
      <c r="C5" s="50" t="s">
        <v>74</v>
      </c>
      <c r="D5" s="6" t="s">
        <v>6</v>
      </c>
      <c r="E5" s="6" t="s">
        <v>5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12</v>
      </c>
      <c r="L5" s="6" t="s">
        <v>13</v>
      </c>
      <c r="M5" s="6" t="s">
        <v>14</v>
      </c>
      <c r="N5" s="6" t="s">
        <v>15</v>
      </c>
      <c r="O5" s="6" t="s">
        <v>16</v>
      </c>
      <c r="P5" s="6" t="s">
        <v>17</v>
      </c>
      <c r="Q5" s="17"/>
    </row>
    <row r="6" spans="1:17" x14ac:dyDescent="0.25">
      <c r="A6" t="s">
        <v>134</v>
      </c>
      <c r="B6" s="1">
        <v>17</v>
      </c>
      <c r="C6" s="51">
        <f>+B6*1.5</f>
        <v>25.5</v>
      </c>
      <c r="D6" s="4">
        <f>((106*$B$6)+6*$C$6)*2</f>
        <v>3910</v>
      </c>
      <c r="E6" s="4">
        <f>((106*$B$6)+6*$C$6)*2</f>
        <v>3910</v>
      </c>
      <c r="F6" s="4">
        <f t="shared" ref="F6:O6" si="0">((106*$B$6)+6*$C$6)*2</f>
        <v>3910</v>
      </c>
      <c r="G6" s="4">
        <f>((106*$B$6)+6*$C$6)*2</f>
        <v>3910</v>
      </c>
      <c r="H6" s="4">
        <f>((106*$B$6)+6*$C$6)*3</f>
        <v>5865</v>
      </c>
      <c r="I6" s="4">
        <f>((106*$B$6)+6*$C$6)*2</f>
        <v>3910</v>
      </c>
      <c r="J6" s="4">
        <f>((106*$B$6)+6*$C$6)*2</f>
        <v>3910</v>
      </c>
      <c r="K6" s="4">
        <f t="shared" si="0"/>
        <v>3910</v>
      </c>
      <c r="L6" s="4">
        <f t="shared" si="0"/>
        <v>3910</v>
      </c>
      <c r="M6" s="4">
        <f t="shared" si="0"/>
        <v>3910</v>
      </c>
      <c r="N6" s="4">
        <f>((106*$B$6)+6*$C$6)*3</f>
        <v>5865</v>
      </c>
      <c r="O6" s="4">
        <f t="shared" si="0"/>
        <v>3910</v>
      </c>
      <c r="P6" s="4">
        <f t="shared" ref="P6:P28" si="1">SUM(D6:O6)</f>
        <v>50830</v>
      </c>
    </row>
    <row r="7" spans="1:17" x14ac:dyDescent="0.25">
      <c r="A7" t="s">
        <v>134</v>
      </c>
      <c r="B7" s="1"/>
      <c r="C7" s="52"/>
      <c r="D7" s="4">
        <f>8*$C6</f>
        <v>204</v>
      </c>
      <c r="E7" s="4">
        <f t="shared" ref="E7:O7" si="2">8*$C6</f>
        <v>204</v>
      </c>
      <c r="F7" s="4">
        <f t="shared" si="2"/>
        <v>204</v>
      </c>
      <c r="G7" s="4">
        <f t="shared" si="2"/>
        <v>204</v>
      </c>
      <c r="H7" s="4">
        <f t="shared" si="2"/>
        <v>204</v>
      </c>
      <c r="I7" s="4">
        <f t="shared" si="2"/>
        <v>204</v>
      </c>
      <c r="J7" s="4">
        <f t="shared" si="2"/>
        <v>204</v>
      </c>
      <c r="K7" s="4">
        <f t="shared" si="2"/>
        <v>204</v>
      </c>
      <c r="L7" s="4">
        <f t="shared" si="2"/>
        <v>204</v>
      </c>
      <c r="M7" s="4">
        <f t="shared" si="2"/>
        <v>204</v>
      </c>
      <c r="N7" s="4">
        <f t="shared" si="2"/>
        <v>204</v>
      </c>
      <c r="O7" s="4">
        <f t="shared" si="2"/>
        <v>204</v>
      </c>
      <c r="P7" s="4">
        <f t="shared" si="1"/>
        <v>2448</v>
      </c>
    </row>
    <row r="8" spans="1:17" x14ac:dyDescent="0.25">
      <c r="A8" t="s">
        <v>126</v>
      </c>
      <c r="B8" s="1">
        <v>17</v>
      </c>
      <c r="C8" s="51">
        <f>+B8*1.5</f>
        <v>25.5</v>
      </c>
      <c r="D8" s="4">
        <f>((106*$B$8)+6*$C$8)*2</f>
        <v>3910</v>
      </c>
      <c r="E8" s="4">
        <f>((106*$B$8)+6*$C$8)*2</f>
        <v>3910</v>
      </c>
      <c r="F8" s="4">
        <f t="shared" ref="F8:O8" si="3">((106*$B$8)+6*$C$8)*2</f>
        <v>3910</v>
      </c>
      <c r="G8" s="4">
        <f>((106*$B$8)+6*$C$8)*2</f>
        <v>3910</v>
      </c>
      <c r="H8" s="4">
        <f>((106*$B$8)+6*$C$8)*3</f>
        <v>5865</v>
      </c>
      <c r="I8" s="4">
        <f>((106*$B$8)+6*$C$8)*2</f>
        <v>3910</v>
      </c>
      <c r="J8" s="4">
        <f>((106*$B$8)+6*$C$8)*2</f>
        <v>3910</v>
      </c>
      <c r="K8" s="4">
        <f t="shared" si="3"/>
        <v>3910</v>
      </c>
      <c r="L8" s="4">
        <f t="shared" si="3"/>
        <v>3910</v>
      </c>
      <c r="M8" s="4">
        <f t="shared" si="3"/>
        <v>3910</v>
      </c>
      <c r="N8" s="4">
        <f>((106*$B$8)+6*$C$8)*3</f>
        <v>5865</v>
      </c>
      <c r="O8" s="4">
        <f t="shared" si="3"/>
        <v>3910</v>
      </c>
      <c r="P8" s="4">
        <f t="shared" si="1"/>
        <v>50830</v>
      </c>
    </row>
    <row r="9" spans="1:17" x14ac:dyDescent="0.25">
      <c r="A9" t="s">
        <v>127</v>
      </c>
      <c r="B9" s="1"/>
      <c r="C9" s="52"/>
      <c r="D9" s="4">
        <f>8*$C8</f>
        <v>204</v>
      </c>
      <c r="E9" s="4">
        <f t="shared" ref="E9:O9" si="4">8*$C8</f>
        <v>204</v>
      </c>
      <c r="F9" s="4">
        <f t="shared" si="4"/>
        <v>204</v>
      </c>
      <c r="G9" s="4">
        <f t="shared" si="4"/>
        <v>204</v>
      </c>
      <c r="H9" s="4">
        <f t="shared" si="4"/>
        <v>204</v>
      </c>
      <c r="I9" s="4">
        <f t="shared" si="4"/>
        <v>204</v>
      </c>
      <c r="J9" s="4">
        <f t="shared" si="4"/>
        <v>204</v>
      </c>
      <c r="K9" s="4">
        <f t="shared" si="4"/>
        <v>204</v>
      </c>
      <c r="L9" s="4">
        <f t="shared" si="4"/>
        <v>204</v>
      </c>
      <c r="M9" s="4">
        <f t="shared" si="4"/>
        <v>204</v>
      </c>
      <c r="N9" s="4">
        <f t="shared" si="4"/>
        <v>204</v>
      </c>
      <c r="O9" s="4">
        <f t="shared" si="4"/>
        <v>204</v>
      </c>
      <c r="P9" s="4">
        <f t="shared" si="1"/>
        <v>2448</v>
      </c>
    </row>
    <row r="10" spans="1:17" x14ac:dyDescent="0.25">
      <c r="A10" t="s">
        <v>72</v>
      </c>
      <c r="B10" s="1">
        <v>23</v>
      </c>
      <c r="C10" s="52">
        <f>+B10*1.5</f>
        <v>34.5</v>
      </c>
      <c r="D10" s="4">
        <f>((106*$B$10)+6*$C$10)*2</f>
        <v>5290</v>
      </c>
      <c r="E10" s="4">
        <f>((106*$B$10)+6*$C$10)*2</f>
        <v>5290</v>
      </c>
      <c r="F10" s="4">
        <f t="shared" ref="F10:O10" si="5">((106*$B$10)+6*$C$10)*2</f>
        <v>5290</v>
      </c>
      <c r="G10" s="4">
        <f>((106*$B$10)+6*$C$10)*2</f>
        <v>5290</v>
      </c>
      <c r="H10" s="4">
        <f>((106*$B$10)+6*$C$10)*3</f>
        <v>7935</v>
      </c>
      <c r="I10" s="4">
        <f>((106*$B$10)+6*$C$10)*2</f>
        <v>5290</v>
      </c>
      <c r="J10" s="4">
        <f>((106*$B$10)+6*$C$10)*2</f>
        <v>5290</v>
      </c>
      <c r="K10" s="4">
        <f t="shared" si="5"/>
        <v>5290</v>
      </c>
      <c r="L10" s="4">
        <f t="shared" si="5"/>
        <v>5290</v>
      </c>
      <c r="M10" s="4">
        <f t="shared" si="5"/>
        <v>5290</v>
      </c>
      <c r="N10" s="4">
        <f>((106*$B$10)+6*$C$10)*3</f>
        <v>7935</v>
      </c>
      <c r="O10" s="4">
        <f t="shared" si="5"/>
        <v>5290</v>
      </c>
      <c r="P10" s="4">
        <f t="shared" si="1"/>
        <v>68770</v>
      </c>
    </row>
    <row r="11" spans="1:17" x14ac:dyDescent="0.25">
      <c r="A11" t="s">
        <v>76</v>
      </c>
      <c r="B11" s="1"/>
      <c r="C11" s="52"/>
      <c r="D11" s="4">
        <f t="shared" ref="D11:O11" si="6">8*$C10</f>
        <v>276</v>
      </c>
      <c r="E11" s="4">
        <f t="shared" si="6"/>
        <v>276</v>
      </c>
      <c r="F11" s="4">
        <f t="shared" si="6"/>
        <v>276</v>
      </c>
      <c r="G11" s="4">
        <f t="shared" si="6"/>
        <v>276</v>
      </c>
      <c r="H11" s="4">
        <f t="shared" si="6"/>
        <v>276</v>
      </c>
      <c r="I11" s="4">
        <f t="shared" si="6"/>
        <v>276</v>
      </c>
      <c r="J11" s="4">
        <f t="shared" si="6"/>
        <v>276</v>
      </c>
      <c r="K11" s="4">
        <f t="shared" si="6"/>
        <v>276</v>
      </c>
      <c r="L11" s="4">
        <f t="shared" si="6"/>
        <v>276</v>
      </c>
      <c r="M11" s="4">
        <f t="shared" si="6"/>
        <v>276</v>
      </c>
      <c r="N11" s="4">
        <f t="shared" si="6"/>
        <v>276</v>
      </c>
      <c r="O11" s="4">
        <f t="shared" si="6"/>
        <v>276</v>
      </c>
      <c r="P11" s="4">
        <f t="shared" si="1"/>
        <v>3312</v>
      </c>
    </row>
    <row r="12" spans="1:17" x14ac:dyDescent="0.25">
      <c r="A12" t="s">
        <v>114</v>
      </c>
      <c r="B12" s="1">
        <v>23</v>
      </c>
      <c r="C12" s="52">
        <f>+B12*1.5</f>
        <v>34.5</v>
      </c>
      <c r="D12" s="4">
        <f>((106*$B$12)+6*$C$12)*2</f>
        <v>5290</v>
      </c>
      <c r="E12" s="4">
        <f>((106*$B$12)+6*$C$12)*2</f>
        <v>5290</v>
      </c>
      <c r="F12" s="4">
        <f t="shared" ref="F12:O12" si="7">((106*$B$12)+6*$C$12)*2</f>
        <v>5290</v>
      </c>
      <c r="G12" s="4">
        <f>((106*$B$12)+6*$C$12)*2</f>
        <v>5290</v>
      </c>
      <c r="H12" s="4">
        <f>((106*$B$12)+6*$C$12)*3</f>
        <v>7935</v>
      </c>
      <c r="I12" s="4">
        <f>((106*$B$12)+6*$C$12)*2</f>
        <v>5290</v>
      </c>
      <c r="J12" s="4">
        <f>((106*$B$12)+6*$C$12)*2</f>
        <v>5290</v>
      </c>
      <c r="K12" s="4">
        <f t="shared" si="7"/>
        <v>5290</v>
      </c>
      <c r="L12" s="4">
        <f t="shared" si="7"/>
        <v>5290</v>
      </c>
      <c r="M12" s="4">
        <f t="shared" si="7"/>
        <v>5290</v>
      </c>
      <c r="N12" s="4">
        <f>((106*$B$12)+6*$C$12)*3</f>
        <v>7935</v>
      </c>
      <c r="O12" s="4">
        <f t="shared" si="7"/>
        <v>5290</v>
      </c>
      <c r="P12" s="4">
        <f t="shared" si="1"/>
        <v>68770</v>
      </c>
    </row>
    <row r="13" spans="1:17" x14ac:dyDescent="0.25">
      <c r="A13" t="s">
        <v>115</v>
      </c>
      <c r="B13" s="1"/>
      <c r="C13" s="52"/>
      <c r="D13" s="4">
        <f t="shared" ref="D13:O13" si="8">8*$C12</f>
        <v>276</v>
      </c>
      <c r="E13" s="4">
        <f t="shared" si="8"/>
        <v>276</v>
      </c>
      <c r="F13" s="4">
        <f t="shared" si="8"/>
        <v>276</v>
      </c>
      <c r="G13" s="4">
        <f t="shared" si="8"/>
        <v>276</v>
      </c>
      <c r="H13" s="4">
        <f t="shared" si="8"/>
        <v>276</v>
      </c>
      <c r="I13" s="4">
        <f t="shared" si="8"/>
        <v>276</v>
      </c>
      <c r="J13" s="4">
        <f t="shared" si="8"/>
        <v>276</v>
      </c>
      <c r="K13" s="4">
        <f t="shared" si="8"/>
        <v>276</v>
      </c>
      <c r="L13" s="4">
        <f t="shared" si="8"/>
        <v>276</v>
      </c>
      <c r="M13" s="4">
        <f t="shared" si="8"/>
        <v>276</v>
      </c>
      <c r="N13" s="4">
        <f t="shared" si="8"/>
        <v>276</v>
      </c>
      <c r="O13" s="4">
        <f t="shared" si="8"/>
        <v>276</v>
      </c>
      <c r="P13" s="4">
        <f t="shared" si="1"/>
        <v>3312</v>
      </c>
    </row>
    <row r="14" spans="1:17" x14ac:dyDescent="0.25">
      <c r="A14" t="s">
        <v>140</v>
      </c>
      <c r="B14" s="1">
        <v>17</v>
      </c>
      <c r="C14" s="52">
        <f>+B14*1.5</f>
        <v>25.5</v>
      </c>
      <c r="D14" s="4">
        <f>((106*$B$14)+6*$C$14)*2</f>
        <v>3910</v>
      </c>
      <c r="E14" s="4">
        <f>((106*$B$14)+6*$C$14)*2</f>
        <v>3910</v>
      </c>
      <c r="F14" s="4">
        <f t="shared" ref="F14:O14" si="9">((106*$B$14)+6*$C$14)*2</f>
        <v>3910</v>
      </c>
      <c r="G14" s="4">
        <f>((106*$B$14)+6*$C$14)*2</f>
        <v>3910</v>
      </c>
      <c r="H14" s="4">
        <f>((106*$B$14)+6*$C$14)*3</f>
        <v>5865</v>
      </c>
      <c r="I14" s="4">
        <f>((106*$B$14)+6*$C$14)*2</f>
        <v>3910</v>
      </c>
      <c r="J14" s="4">
        <f>((106*$B$14)+6*$C$14)*2</f>
        <v>3910</v>
      </c>
      <c r="K14" s="4">
        <f t="shared" si="9"/>
        <v>3910</v>
      </c>
      <c r="L14" s="4">
        <f t="shared" si="9"/>
        <v>3910</v>
      </c>
      <c r="M14" s="4">
        <f t="shared" si="9"/>
        <v>3910</v>
      </c>
      <c r="N14" s="4">
        <f>((106*$B$14)+6*$C$14)*3</f>
        <v>5865</v>
      </c>
      <c r="O14" s="4">
        <f t="shared" si="9"/>
        <v>3910</v>
      </c>
      <c r="P14" s="4">
        <f t="shared" si="1"/>
        <v>50830</v>
      </c>
    </row>
    <row r="15" spans="1:17" x14ac:dyDescent="0.25">
      <c r="A15" t="s">
        <v>141</v>
      </c>
      <c r="B15" s="1"/>
      <c r="C15" s="52"/>
      <c r="D15" s="4">
        <f t="shared" ref="D15:O15" si="10">8*$C14</f>
        <v>204</v>
      </c>
      <c r="E15" s="4">
        <f t="shared" si="10"/>
        <v>204</v>
      </c>
      <c r="F15" s="4">
        <f t="shared" si="10"/>
        <v>204</v>
      </c>
      <c r="G15" s="4">
        <f t="shared" si="10"/>
        <v>204</v>
      </c>
      <c r="H15" s="4">
        <f t="shared" si="10"/>
        <v>204</v>
      </c>
      <c r="I15" s="4">
        <f t="shared" si="10"/>
        <v>204</v>
      </c>
      <c r="J15" s="4">
        <f t="shared" si="10"/>
        <v>204</v>
      </c>
      <c r="K15" s="4">
        <f t="shared" si="10"/>
        <v>204</v>
      </c>
      <c r="L15" s="4">
        <f t="shared" si="10"/>
        <v>204</v>
      </c>
      <c r="M15" s="4">
        <f t="shared" si="10"/>
        <v>204</v>
      </c>
      <c r="N15" s="4">
        <f t="shared" si="10"/>
        <v>204</v>
      </c>
      <c r="O15" s="4">
        <f t="shared" si="10"/>
        <v>204</v>
      </c>
      <c r="P15" s="4">
        <f t="shared" si="1"/>
        <v>2448</v>
      </c>
    </row>
    <row r="16" spans="1:17" x14ac:dyDescent="0.25">
      <c r="A16" t="s">
        <v>73</v>
      </c>
      <c r="B16" s="1">
        <v>23</v>
      </c>
      <c r="C16" s="52">
        <f>+B16*1.5</f>
        <v>34.5</v>
      </c>
      <c r="D16" s="4">
        <f>((106*$B$16)+6*$C$16)*2</f>
        <v>5290</v>
      </c>
      <c r="E16" s="4">
        <f>((106*$B$16)+6*$C$16)*2</f>
        <v>5290</v>
      </c>
      <c r="F16" s="4">
        <f t="shared" ref="F16:O16" si="11">((106*$B$16)+6*$C$16)*2</f>
        <v>5290</v>
      </c>
      <c r="G16" s="4">
        <f>((106*$B$16)+6*$C$16)*2</f>
        <v>5290</v>
      </c>
      <c r="H16" s="4">
        <f>((106*$B$16)+6*$C$16)*3</f>
        <v>7935</v>
      </c>
      <c r="I16" s="4">
        <f>((106*$B$16)+6*$C$16)*2</f>
        <v>5290</v>
      </c>
      <c r="J16" s="4">
        <f>((106*$B$16)+6*$C$16)*2</f>
        <v>5290</v>
      </c>
      <c r="K16" s="4">
        <f t="shared" si="11"/>
        <v>5290</v>
      </c>
      <c r="L16" s="4">
        <f t="shared" si="11"/>
        <v>5290</v>
      </c>
      <c r="M16" s="4">
        <f t="shared" si="11"/>
        <v>5290</v>
      </c>
      <c r="N16" s="4">
        <f>((106*$B$16)+6*$C$16)*3</f>
        <v>7935</v>
      </c>
      <c r="O16" s="4">
        <f t="shared" si="11"/>
        <v>5290</v>
      </c>
      <c r="P16" s="4">
        <f t="shared" si="1"/>
        <v>68770</v>
      </c>
    </row>
    <row r="17" spans="1:17" x14ac:dyDescent="0.25">
      <c r="A17" t="s">
        <v>77</v>
      </c>
      <c r="D17" s="4">
        <f t="shared" ref="D17:O17" si="12">8*$C16</f>
        <v>276</v>
      </c>
      <c r="E17" s="4">
        <f t="shared" si="12"/>
        <v>276</v>
      </c>
      <c r="F17" s="4">
        <f t="shared" si="12"/>
        <v>276</v>
      </c>
      <c r="G17" s="4">
        <f t="shared" si="12"/>
        <v>276</v>
      </c>
      <c r="H17" s="4">
        <f t="shared" si="12"/>
        <v>276</v>
      </c>
      <c r="I17" s="4">
        <f t="shared" si="12"/>
        <v>276</v>
      </c>
      <c r="J17" s="4">
        <f t="shared" si="12"/>
        <v>276</v>
      </c>
      <c r="K17" s="4">
        <f t="shared" si="12"/>
        <v>276</v>
      </c>
      <c r="L17" s="4">
        <f t="shared" si="12"/>
        <v>276</v>
      </c>
      <c r="M17" s="4">
        <f t="shared" si="12"/>
        <v>276</v>
      </c>
      <c r="N17" s="4">
        <f t="shared" si="12"/>
        <v>276</v>
      </c>
      <c r="O17" s="4">
        <f t="shared" si="12"/>
        <v>276</v>
      </c>
      <c r="P17" s="4">
        <f>SUM(D17:O17)</f>
        <v>3312</v>
      </c>
    </row>
    <row r="18" spans="1:17" x14ac:dyDescent="0.25">
      <c r="A18" t="s">
        <v>78</v>
      </c>
      <c r="B18"/>
      <c r="C18" s="52"/>
      <c r="D18" s="15">
        <v>7837</v>
      </c>
      <c r="E18" s="15">
        <v>7837</v>
      </c>
      <c r="F18" s="15">
        <v>7837</v>
      </c>
      <c r="G18" s="15">
        <v>7837</v>
      </c>
      <c r="H18" s="15">
        <v>7837</v>
      </c>
      <c r="I18" s="15">
        <v>7837</v>
      </c>
      <c r="J18" s="15">
        <v>7837</v>
      </c>
      <c r="K18" s="15">
        <v>7837</v>
      </c>
      <c r="L18" s="15">
        <v>7837</v>
      </c>
      <c r="M18" s="15">
        <v>7837</v>
      </c>
      <c r="N18" s="15">
        <v>7837</v>
      </c>
      <c r="O18" s="15">
        <v>7837</v>
      </c>
      <c r="P18" s="4">
        <f>SUM(D18:O18)</f>
        <v>94044</v>
      </c>
      <c r="Q18" s="44"/>
    </row>
    <row r="19" spans="1:17" x14ac:dyDescent="0.25">
      <c r="A19" t="s">
        <v>133</v>
      </c>
      <c r="B19"/>
      <c r="C19" s="52"/>
      <c r="D19" s="4">
        <f>(65000)/26*2</f>
        <v>5000</v>
      </c>
      <c r="E19" s="4">
        <f t="shared" ref="E19:O19" si="13">(65000)/26*2</f>
        <v>5000</v>
      </c>
      <c r="F19" s="4">
        <f t="shared" si="13"/>
        <v>5000</v>
      </c>
      <c r="G19" s="4">
        <f t="shared" si="13"/>
        <v>5000</v>
      </c>
      <c r="H19" s="4">
        <f>(65000)/26*3</f>
        <v>7500</v>
      </c>
      <c r="I19" s="4">
        <f t="shared" si="13"/>
        <v>5000</v>
      </c>
      <c r="J19" s="4">
        <f t="shared" si="13"/>
        <v>5000</v>
      </c>
      <c r="K19" s="4">
        <f t="shared" si="13"/>
        <v>5000</v>
      </c>
      <c r="L19" s="4">
        <f t="shared" si="13"/>
        <v>5000</v>
      </c>
      <c r="M19" s="4">
        <f t="shared" si="13"/>
        <v>5000</v>
      </c>
      <c r="N19" s="4">
        <f>(65500)/26*3</f>
        <v>7557.6923076923067</v>
      </c>
      <c r="O19" s="4">
        <f t="shared" si="13"/>
        <v>5000</v>
      </c>
      <c r="P19" s="4">
        <f t="shared" si="1"/>
        <v>65057.692307692305</v>
      </c>
    </row>
    <row r="20" spans="1:17" x14ac:dyDescent="0.25"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>
        <f t="shared" si="1"/>
        <v>0</v>
      </c>
    </row>
    <row r="21" spans="1:17" x14ac:dyDescent="0.25">
      <c r="A21" s="2" t="s">
        <v>128</v>
      </c>
      <c r="D21" s="4">
        <f>20*9</f>
        <v>180</v>
      </c>
      <c r="E21" s="4">
        <f t="shared" ref="E21:O21" si="14">20*9</f>
        <v>180</v>
      </c>
      <c r="F21" s="4">
        <f t="shared" si="14"/>
        <v>180</v>
      </c>
      <c r="G21" s="4">
        <f t="shared" si="14"/>
        <v>180</v>
      </c>
      <c r="H21" s="4">
        <f t="shared" si="14"/>
        <v>180</v>
      </c>
      <c r="I21" s="4">
        <f t="shared" si="14"/>
        <v>180</v>
      </c>
      <c r="J21" s="4">
        <f t="shared" si="14"/>
        <v>180</v>
      </c>
      <c r="K21" s="4">
        <f t="shared" si="14"/>
        <v>180</v>
      </c>
      <c r="L21" s="4">
        <f t="shared" si="14"/>
        <v>180</v>
      </c>
      <c r="M21" s="4">
        <f t="shared" si="14"/>
        <v>180</v>
      </c>
      <c r="N21" s="4">
        <f t="shared" si="14"/>
        <v>180</v>
      </c>
      <c r="O21" s="4">
        <f t="shared" si="14"/>
        <v>180</v>
      </c>
      <c r="P21" s="4">
        <f t="shared" si="1"/>
        <v>2160</v>
      </c>
    </row>
    <row r="22" spans="1:17" x14ac:dyDescent="0.25">
      <c r="A22" s="2" t="s">
        <v>145</v>
      </c>
      <c r="D22" s="4">
        <v>1440</v>
      </c>
      <c r="E22" s="4">
        <v>1440</v>
      </c>
      <c r="F22" s="4">
        <v>1440</v>
      </c>
      <c r="G22" s="4">
        <v>1440</v>
      </c>
      <c r="H22" s="4">
        <v>1440</v>
      </c>
      <c r="I22" s="4">
        <v>1440</v>
      </c>
      <c r="J22" s="4">
        <v>1440</v>
      </c>
      <c r="K22" s="4">
        <v>1440</v>
      </c>
      <c r="L22" s="4">
        <v>1440</v>
      </c>
      <c r="M22" s="4">
        <v>1440</v>
      </c>
      <c r="N22" s="4">
        <v>1440</v>
      </c>
      <c r="O22" s="4">
        <v>1440</v>
      </c>
      <c r="P22" s="4">
        <f t="shared" si="1"/>
        <v>17280</v>
      </c>
    </row>
    <row r="23" spans="1:17" x14ac:dyDescent="0.25">
      <c r="A23" s="2" t="s">
        <v>143</v>
      </c>
      <c r="B23" s="54" t="s">
        <v>144</v>
      </c>
      <c r="C23" s="55">
        <v>4</v>
      </c>
      <c r="D23" s="47">
        <f>8*20*$C23*4</f>
        <v>2560</v>
      </c>
      <c r="E23" s="47">
        <f t="shared" ref="E23:O23" si="15">8*20*$C23*4</f>
        <v>2560</v>
      </c>
      <c r="F23" s="47">
        <f t="shared" si="15"/>
        <v>2560</v>
      </c>
      <c r="G23" s="47">
        <f t="shared" si="15"/>
        <v>2560</v>
      </c>
      <c r="H23" s="47">
        <f t="shared" si="15"/>
        <v>2560</v>
      </c>
      <c r="I23" s="47">
        <f t="shared" si="15"/>
        <v>2560</v>
      </c>
      <c r="J23" s="47">
        <f t="shared" si="15"/>
        <v>2560</v>
      </c>
      <c r="K23" s="47">
        <f t="shared" si="15"/>
        <v>2560</v>
      </c>
      <c r="L23" s="47">
        <f t="shared" si="15"/>
        <v>2560</v>
      </c>
      <c r="M23" s="47">
        <f t="shared" si="15"/>
        <v>2560</v>
      </c>
      <c r="N23" s="47">
        <f t="shared" si="15"/>
        <v>2560</v>
      </c>
      <c r="O23" s="47">
        <f t="shared" si="15"/>
        <v>2560</v>
      </c>
      <c r="P23" s="4">
        <f t="shared" si="1"/>
        <v>30720</v>
      </c>
    </row>
    <row r="24" spans="1:17" x14ac:dyDescent="0.25"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>
        <f t="shared" si="1"/>
        <v>0</v>
      </c>
    </row>
    <row r="25" spans="1:17" x14ac:dyDescent="0.25">
      <c r="A25" s="2" t="s">
        <v>71</v>
      </c>
      <c r="D25" s="4">
        <f>2*20.5</f>
        <v>41</v>
      </c>
      <c r="E25" s="4">
        <f>2*20.5</f>
        <v>41</v>
      </c>
      <c r="F25" s="4">
        <f t="shared" ref="F25:O25" si="16">2*20.5</f>
        <v>41</v>
      </c>
      <c r="G25" s="4">
        <f t="shared" si="16"/>
        <v>41</v>
      </c>
      <c r="H25" s="4">
        <f>3*20.5</f>
        <v>61.5</v>
      </c>
      <c r="I25" s="4">
        <f>2*20.5</f>
        <v>41</v>
      </c>
      <c r="J25" s="4">
        <f t="shared" si="16"/>
        <v>41</v>
      </c>
      <c r="K25" s="4">
        <f t="shared" si="16"/>
        <v>41</v>
      </c>
      <c r="L25" s="4">
        <f t="shared" si="16"/>
        <v>41</v>
      </c>
      <c r="M25" s="4">
        <f t="shared" si="16"/>
        <v>41</v>
      </c>
      <c r="N25" s="4">
        <f>3*20.5</f>
        <v>61.5</v>
      </c>
      <c r="O25" s="4">
        <f t="shared" si="16"/>
        <v>41</v>
      </c>
      <c r="P25" s="4">
        <f>SUM(D25:O25)</f>
        <v>533</v>
      </c>
    </row>
    <row r="26" spans="1:17" x14ac:dyDescent="0.25">
      <c r="A26" t="s">
        <v>142</v>
      </c>
      <c r="B26" s="32"/>
      <c r="C26" s="53"/>
      <c r="D26" s="39"/>
      <c r="E26" s="39"/>
      <c r="F26" s="39">
        <v>15000</v>
      </c>
      <c r="G26" s="39"/>
      <c r="H26" s="39"/>
      <c r="I26" s="39"/>
      <c r="J26" s="39"/>
      <c r="K26" s="39"/>
      <c r="L26" s="39"/>
      <c r="M26" s="39"/>
      <c r="N26" s="39"/>
      <c r="O26" s="39"/>
      <c r="P26" s="39">
        <f>SUM(D26:O26)</f>
        <v>15000</v>
      </c>
    </row>
    <row r="27" spans="1:17" x14ac:dyDescent="0.25"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>
        <f t="shared" si="1"/>
        <v>0</v>
      </c>
    </row>
    <row r="28" spans="1:17" x14ac:dyDescent="0.25">
      <c r="A28" s="2" t="s">
        <v>42</v>
      </c>
      <c r="D28" s="4">
        <f>SUM(D6:D23)*0.0765</f>
        <v>3523.3604999999998</v>
      </c>
      <c r="E28" s="4">
        <f t="shared" ref="E28:O28" si="17">SUM(E6:E23)*0.0765</f>
        <v>3523.3604999999998</v>
      </c>
      <c r="F28" s="4">
        <f t="shared" si="17"/>
        <v>3523.3604999999998</v>
      </c>
      <c r="G28" s="4">
        <f t="shared" si="17"/>
        <v>3523.3604999999998</v>
      </c>
      <c r="H28" s="4">
        <f t="shared" si="17"/>
        <v>4770.3104999999996</v>
      </c>
      <c r="I28" s="4">
        <f t="shared" si="17"/>
        <v>3523.3604999999998</v>
      </c>
      <c r="J28" s="4">
        <f t="shared" si="17"/>
        <v>3523.3604999999998</v>
      </c>
      <c r="K28" s="4">
        <f t="shared" si="17"/>
        <v>3523.3604999999998</v>
      </c>
      <c r="L28" s="4">
        <f t="shared" si="17"/>
        <v>3523.3604999999998</v>
      </c>
      <c r="M28" s="4">
        <f t="shared" si="17"/>
        <v>3523.3604999999998</v>
      </c>
      <c r="N28" s="4">
        <f t="shared" si="17"/>
        <v>4774.7239615384615</v>
      </c>
      <c r="O28" s="4">
        <f t="shared" si="17"/>
        <v>3523.3604999999998</v>
      </c>
      <c r="P28" s="4">
        <f t="shared" si="1"/>
        <v>44778.639461538463</v>
      </c>
    </row>
    <row r="29" spans="1:17" x14ac:dyDescent="0.25"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1:17" x14ac:dyDescent="0.25">
      <c r="D30" s="9">
        <f t="shared" ref="D30:N30" si="18">SUM(D6:D29)</f>
        <v>49621.360500000003</v>
      </c>
      <c r="E30" s="9">
        <f t="shared" si="18"/>
        <v>49621.360500000003</v>
      </c>
      <c r="F30" s="9">
        <f t="shared" si="18"/>
        <v>64621.360500000003</v>
      </c>
      <c r="G30" s="9">
        <f t="shared" si="18"/>
        <v>49621.360500000003</v>
      </c>
      <c r="H30" s="9">
        <f t="shared" si="18"/>
        <v>67188.810499999992</v>
      </c>
      <c r="I30" s="9">
        <f t="shared" si="18"/>
        <v>49621.360500000003</v>
      </c>
      <c r="J30" s="9">
        <f t="shared" si="18"/>
        <v>49621.360500000003</v>
      </c>
      <c r="K30" s="9">
        <f t="shared" si="18"/>
        <v>49621.360500000003</v>
      </c>
      <c r="L30" s="9">
        <f t="shared" si="18"/>
        <v>49621.360500000003</v>
      </c>
      <c r="M30" s="9">
        <f t="shared" si="18"/>
        <v>49621.360500000003</v>
      </c>
      <c r="N30" s="9">
        <f t="shared" si="18"/>
        <v>67250.916269230773</v>
      </c>
      <c r="O30" s="9">
        <f>SUM(O6:O29)</f>
        <v>49621.360500000003</v>
      </c>
      <c r="P30" s="9">
        <f t="shared" ref="P30" si="19">SUM(P6:P29)</f>
        <v>645653.33176923078</v>
      </c>
    </row>
  </sheetData>
  <printOptions headings="1" gridLines="1"/>
  <pageMargins left="0.7" right="0.7" top="0.75" bottom="0.75" header="0.3" footer="0.3"/>
  <pageSetup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876DB-481C-4A33-8C57-11F0E3CC4D52}">
  <sheetPr>
    <pageSetUpPr fitToPage="1"/>
  </sheetPr>
  <dimension ref="A1:R22"/>
  <sheetViews>
    <sheetView workbookViewId="0">
      <selection activeCell="P21" sqref="P21"/>
    </sheetView>
  </sheetViews>
  <sheetFormatPr defaultRowHeight="15" x14ac:dyDescent="0.25"/>
  <cols>
    <col min="1" max="2" width="17.85546875" customWidth="1"/>
    <col min="3" max="3" width="19.7109375" style="58" bestFit="1" customWidth="1"/>
  </cols>
  <sheetData>
    <row r="1" spans="1:16" x14ac:dyDescent="0.25">
      <c r="A1" s="2" t="s">
        <v>0</v>
      </c>
      <c r="B1" s="2"/>
      <c r="C1" s="56"/>
    </row>
    <row r="2" spans="1:16" x14ac:dyDescent="0.25">
      <c r="A2" s="2" t="s">
        <v>43</v>
      </c>
      <c r="B2" s="2"/>
      <c r="C2" s="56"/>
    </row>
    <row r="3" spans="1:16" x14ac:dyDescent="0.25">
      <c r="A3" s="3">
        <v>46203</v>
      </c>
      <c r="B3" s="3"/>
      <c r="C3" s="57"/>
    </row>
    <row r="4" spans="1:16" x14ac:dyDescent="0.25"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x14ac:dyDescent="0.25">
      <c r="A5" s="2" t="s">
        <v>19</v>
      </c>
      <c r="B5" s="2" t="s">
        <v>135</v>
      </c>
      <c r="C5" s="56" t="s">
        <v>70</v>
      </c>
      <c r="D5" s="10" t="s">
        <v>6</v>
      </c>
      <c r="E5" s="10" t="s">
        <v>5</v>
      </c>
      <c r="F5" s="10" t="s">
        <v>7</v>
      </c>
      <c r="G5" s="10" t="s">
        <v>8</v>
      </c>
      <c r="H5" s="10" t="s">
        <v>9</v>
      </c>
      <c r="I5" s="10" t="s">
        <v>10</v>
      </c>
      <c r="J5" s="10" t="s">
        <v>11</v>
      </c>
      <c r="K5" s="10" t="s">
        <v>12</v>
      </c>
      <c r="L5" s="10" t="s">
        <v>13</v>
      </c>
      <c r="M5" s="10" t="s">
        <v>14</v>
      </c>
      <c r="N5" s="10" t="s">
        <v>15</v>
      </c>
      <c r="O5" s="10" t="s">
        <v>16</v>
      </c>
      <c r="P5" s="10" t="s">
        <v>17</v>
      </c>
    </row>
    <row r="6" spans="1:16" x14ac:dyDescent="0.25"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x14ac:dyDescent="0.25">
      <c r="A7" t="s">
        <v>134</v>
      </c>
      <c r="B7">
        <v>3</v>
      </c>
      <c r="C7" s="58">
        <v>8.8900000000000007E-2</v>
      </c>
      <c r="D7" s="47">
        <f>Payroll!D6*$C7</f>
        <v>347.59900000000005</v>
      </c>
      <c r="E7" s="47">
        <f>Payroll!E6*$C7</f>
        <v>347.59900000000005</v>
      </c>
      <c r="F7" s="47">
        <f>Payroll!F6*$C7</f>
        <v>347.59900000000005</v>
      </c>
      <c r="G7" s="47">
        <f>Payroll!G6*$C7</f>
        <v>347.59900000000005</v>
      </c>
      <c r="H7" s="47">
        <f>Payroll!H6*$C7</f>
        <v>521.39850000000001</v>
      </c>
      <c r="I7" s="47">
        <f>Payroll!I6*$C7</f>
        <v>347.59900000000005</v>
      </c>
      <c r="J7" s="47">
        <f>Payroll!J6*$C7</f>
        <v>347.59900000000005</v>
      </c>
      <c r="K7" s="47">
        <f>Payroll!K6*$C7</f>
        <v>347.59900000000005</v>
      </c>
      <c r="L7" s="47">
        <f>Payroll!L6*$C7</f>
        <v>347.59900000000005</v>
      </c>
      <c r="M7" s="47">
        <f>Payroll!M6*$C7</f>
        <v>347.59900000000005</v>
      </c>
      <c r="N7" s="47">
        <f>Payroll!N6*$C7</f>
        <v>521.39850000000001</v>
      </c>
      <c r="O7" s="47">
        <f>Payroll!O6*$C7</f>
        <v>347.59900000000005</v>
      </c>
      <c r="P7" s="47">
        <f t="shared" ref="P7:P19" si="0">SUM(D7:O7)</f>
        <v>4518.7870000000012</v>
      </c>
    </row>
    <row r="8" spans="1:16" x14ac:dyDescent="0.25">
      <c r="A8" t="s">
        <v>134</v>
      </c>
      <c r="B8">
        <v>3</v>
      </c>
      <c r="C8" s="58">
        <v>8.8900000000000007E-2</v>
      </c>
      <c r="D8" s="47">
        <f>Payroll!D7*$C8</f>
        <v>18.1356</v>
      </c>
      <c r="E8" s="47">
        <f>Payroll!E7*$C8</f>
        <v>18.1356</v>
      </c>
      <c r="F8" s="47">
        <f>Payroll!F7*$C8</f>
        <v>18.1356</v>
      </c>
      <c r="G8" s="47">
        <f>Payroll!G7*$C8</f>
        <v>18.1356</v>
      </c>
      <c r="H8" s="47">
        <f>Payroll!H7*$C8</f>
        <v>18.1356</v>
      </c>
      <c r="I8" s="47">
        <f>Payroll!I7*$C8</f>
        <v>18.1356</v>
      </c>
      <c r="J8" s="47">
        <f>Payroll!J7*$C8</f>
        <v>18.1356</v>
      </c>
      <c r="K8" s="47">
        <f>Payroll!K7*$C8</f>
        <v>18.1356</v>
      </c>
      <c r="L8" s="47">
        <f>Payroll!L7*$C8</f>
        <v>18.1356</v>
      </c>
      <c r="M8" s="47">
        <f>Payroll!M7*$C8</f>
        <v>18.1356</v>
      </c>
      <c r="N8" s="47">
        <f>Payroll!N7*$C8</f>
        <v>18.1356</v>
      </c>
      <c r="O8" s="47">
        <f>Payroll!O7*$C8</f>
        <v>18.1356</v>
      </c>
      <c r="P8" s="47">
        <f t="shared" si="0"/>
        <v>217.62720000000004</v>
      </c>
    </row>
    <row r="9" spans="1:16" x14ac:dyDescent="0.25">
      <c r="A9" t="s">
        <v>126</v>
      </c>
      <c r="B9">
        <v>3</v>
      </c>
      <c r="C9" s="58">
        <v>8.8900000000000007E-2</v>
      </c>
      <c r="D9" s="47">
        <f>Payroll!D8*$C9</f>
        <v>347.59900000000005</v>
      </c>
      <c r="E9" s="47">
        <f>Payroll!E8*$C9</f>
        <v>347.59900000000005</v>
      </c>
      <c r="F9" s="47">
        <f>Payroll!F8*$C9</f>
        <v>347.59900000000005</v>
      </c>
      <c r="G9" s="47">
        <f>Payroll!G8*$C9</f>
        <v>347.59900000000005</v>
      </c>
      <c r="H9" s="47">
        <f>Payroll!H8*$C9</f>
        <v>521.39850000000001</v>
      </c>
      <c r="I9" s="47">
        <f>Payroll!I8*$C9</f>
        <v>347.59900000000005</v>
      </c>
      <c r="J9" s="47">
        <f>Payroll!J8*$C9</f>
        <v>347.59900000000005</v>
      </c>
      <c r="K9" s="47">
        <f>Payroll!K8*$C9</f>
        <v>347.59900000000005</v>
      </c>
      <c r="L9" s="47">
        <f>Payroll!L8*$C9</f>
        <v>347.59900000000005</v>
      </c>
      <c r="M9" s="47">
        <f>Payroll!M8*$C9</f>
        <v>347.59900000000005</v>
      </c>
      <c r="N9" s="47">
        <f>Payroll!N8*$C9</f>
        <v>521.39850000000001</v>
      </c>
      <c r="O9" s="47">
        <f>Payroll!O8*$C9</f>
        <v>347.59900000000005</v>
      </c>
      <c r="P9" s="47">
        <f t="shared" si="0"/>
        <v>4518.7870000000012</v>
      </c>
    </row>
    <row r="10" spans="1:16" x14ac:dyDescent="0.25">
      <c r="A10" t="s">
        <v>127</v>
      </c>
      <c r="B10">
        <v>3</v>
      </c>
      <c r="C10" s="58">
        <v>8.8900000000000007E-2</v>
      </c>
      <c r="D10" s="47">
        <f>Payroll!D9*$C10</f>
        <v>18.1356</v>
      </c>
      <c r="E10" s="47">
        <f>Payroll!E9*$C10</f>
        <v>18.1356</v>
      </c>
      <c r="F10" s="47">
        <f>Payroll!F9*$C10</f>
        <v>18.1356</v>
      </c>
      <c r="G10" s="47">
        <f>Payroll!G9*$C10</f>
        <v>18.1356</v>
      </c>
      <c r="H10" s="47">
        <f>Payroll!H9*$C10</f>
        <v>18.1356</v>
      </c>
      <c r="I10" s="47">
        <f>Payroll!I9*$C10</f>
        <v>18.1356</v>
      </c>
      <c r="J10" s="47">
        <f>Payroll!J9*$C10</f>
        <v>18.1356</v>
      </c>
      <c r="K10" s="47">
        <f>Payroll!K9*$C10</f>
        <v>18.1356</v>
      </c>
      <c r="L10" s="47">
        <f>Payroll!L9*$C10</f>
        <v>18.1356</v>
      </c>
      <c r="M10" s="47">
        <f>Payroll!M9*$C10</f>
        <v>18.1356</v>
      </c>
      <c r="N10" s="47">
        <f>Payroll!N9*$C10</f>
        <v>18.1356</v>
      </c>
      <c r="O10" s="47">
        <f>Payroll!O9*$C10</f>
        <v>18.1356</v>
      </c>
      <c r="P10" s="47">
        <f t="shared" si="0"/>
        <v>217.62720000000004</v>
      </c>
    </row>
    <row r="11" spans="1:16" x14ac:dyDescent="0.25">
      <c r="A11" t="s">
        <v>72</v>
      </c>
      <c r="B11">
        <v>3</v>
      </c>
      <c r="C11" s="58">
        <v>8.8900000000000007E-2</v>
      </c>
      <c r="D11" s="47">
        <f>Payroll!D10*$C11</f>
        <v>470.28100000000006</v>
      </c>
      <c r="E11" s="47">
        <f>Payroll!E10*$C11</f>
        <v>470.28100000000006</v>
      </c>
      <c r="F11" s="47">
        <f>Payroll!F10*$C11</f>
        <v>470.28100000000006</v>
      </c>
      <c r="G11" s="47">
        <f>Payroll!G10*$C11</f>
        <v>470.28100000000006</v>
      </c>
      <c r="H11" s="47">
        <f>Payroll!H10*$C11</f>
        <v>705.42150000000004</v>
      </c>
      <c r="I11" s="47">
        <f>Payroll!I10*$C11</f>
        <v>470.28100000000006</v>
      </c>
      <c r="J11" s="47">
        <f>Payroll!J10*$C11</f>
        <v>470.28100000000006</v>
      </c>
      <c r="K11" s="47">
        <f>Payroll!K10*$C11</f>
        <v>470.28100000000006</v>
      </c>
      <c r="L11" s="47">
        <f>Payroll!L10*$C11</f>
        <v>470.28100000000006</v>
      </c>
      <c r="M11" s="47">
        <f>Payroll!M10*$C11</f>
        <v>470.28100000000006</v>
      </c>
      <c r="N11" s="47">
        <f>Payroll!N10*$C11</f>
        <v>705.42150000000004</v>
      </c>
      <c r="O11" s="47">
        <f>Payroll!O10*$C11</f>
        <v>470.28100000000006</v>
      </c>
      <c r="P11" s="47">
        <f t="shared" si="0"/>
        <v>6113.6530000000002</v>
      </c>
    </row>
    <row r="12" spans="1:16" x14ac:dyDescent="0.25">
      <c r="A12" t="s">
        <v>76</v>
      </c>
      <c r="B12">
        <v>3</v>
      </c>
      <c r="C12" s="58">
        <v>8.8900000000000007E-2</v>
      </c>
      <c r="D12" s="47">
        <f>Payroll!D11*$C12</f>
        <v>24.5364</v>
      </c>
      <c r="E12" s="47">
        <f>Payroll!E11*$C12</f>
        <v>24.5364</v>
      </c>
      <c r="F12" s="47">
        <f>Payroll!F11*$C12</f>
        <v>24.5364</v>
      </c>
      <c r="G12" s="47">
        <f>Payroll!G11*$C12</f>
        <v>24.5364</v>
      </c>
      <c r="H12" s="47">
        <f>Payroll!H11*$C12</f>
        <v>24.5364</v>
      </c>
      <c r="I12" s="47">
        <f>Payroll!I11*$C12</f>
        <v>24.5364</v>
      </c>
      <c r="J12" s="47">
        <f>Payroll!J11*$C12</f>
        <v>24.5364</v>
      </c>
      <c r="K12" s="47">
        <f>Payroll!K11*$C12</f>
        <v>24.5364</v>
      </c>
      <c r="L12" s="47">
        <f>Payroll!L11*$C12</f>
        <v>24.5364</v>
      </c>
      <c r="M12" s="47">
        <f>Payroll!M11*$C12</f>
        <v>24.5364</v>
      </c>
      <c r="N12" s="47">
        <f>Payroll!N11*$C12</f>
        <v>24.5364</v>
      </c>
      <c r="O12" s="47">
        <f>Payroll!O11*$C12</f>
        <v>24.5364</v>
      </c>
      <c r="P12" s="47">
        <f t="shared" si="0"/>
        <v>294.43680000000006</v>
      </c>
    </row>
    <row r="13" spans="1:16" x14ac:dyDescent="0.25">
      <c r="A13" t="s">
        <v>114</v>
      </c>
      <c r="B13">
        <v>3</v>
      </c>
      <c r="C13" s="58">
        <v>8.8900000000000007E-2</v>
      </c>
      <c r="D13" s="47">
        <f>Payroll!D12*$C13</f>
        <v>470.28100000000006</v>
      </c>
      <c r="E13" s="47">
        <f>Payroll!E12*$C13</f>
        <v>470.28100000000006</v>
      </c>
      <c r="F13" s="47">
        <f>Payroll!F12*$C13</f>
        <v>470.28100000000006</v>
      </c>
      <c r="G13" s="47">
        <f>Payroll!G12*$C13</f>
        <v>470.28100000000006</v>
      </c>
      <c r="H13" s="47">
        <f>Payroll!H12*$C13</f>
        <v>705.42150000000004</v>
      </c>
      <c r="I13" s="47">
        <f>Payroll!I12*$C13</f>
        <v>470.28100000000006</v>
      </c>
      <c r="J13" s="47">
        <f>Payroll!J12*$C13</f>
        <v>470.28100000000006</v>
      </c>
      <c r="K13" s="47">
        <f>Payroll!K12*$C13</f>
        <v>470.28100000000006</v>
      </c>
      <c r="L13" s="47">
        <f>Payroll!L12*$C13</f>
        <v>470.28100000000006</v>
      </c>
      <c r="M13" s="47">
        <f>Payroll!M12*$C13</f>
        <v>470.28100000000006</v>
      </c>
      <c r="N13" s="47">
        <f>Payroll!N12*$C13</f>
        <v>705.42150000000004</v>
      </c>
      <c r="O13" s="47">
        <f>Payroll!O12*$C13</f>
        <v>470.28100000000006</v>
      </c>
      <c r="P13" s="47">
        <f t="shared" si="0"/>
        <v>6113.6530000000002</v>
      </c>
    </row>
    <row r="14" spans="1:16" x14ac:dyDescent="0.25">
      <c r="A14" t="s">
        <v>115</v>
      </c>
      <c r="B14">
        <v>3</v>
      </c>
      <c r="C14" s="58">
        <v>8.8900000000000007E-2</v>
      </c>
      <c r="D14" s="47">
        <f>Payroll!D13*$C14</f>
        <v>24.5364</v>
      </c>
      <c r="E14" s="47">
        <f>Payroll!E13*$C14</f>
        <v>24.5364</v>
      </c>
      <c r="F14" s="47">
        <f>Payroll!F13*$C14</f>
        <v>24.5364</v>
      </c>
      <c r="G14" s="47">
        <f>Payroll!G13*$C14</f>
        <v>24.5364</v>
      </c>
      <c r="H14" s="47">
        <f>Payroll!H13*$C14</f>
        <v>24.5364</v>
      </c>
      <c r="I14" s="47">
        <f>Payroll!I13*$C14</f>
        <v>24.5364</v>
      </c>
      <c r="J14" s="47">
        <f>Payroll!J13*$C14</f>
        <v>24.5364</v>
      </c>
      <c r="K14" s="47">
        <f>Payroll!K13*$C14</f>
        <v>24.5364</v>
      </c>
      <c r="L14" s="47">
        <f>Payroll!L13*$C14</f>
        <v>24.5364</v>
      </c>
      <c r="M14" s="47">
        <f>Payroll!M13*$C14</f>
        <v>24.5364</v>
      </c>
      <c r="N14" s="47">
        <f>Payroll!N13*$C14</f>
        <v>24.5364</v>
      </c>
      <c r="O14" s="47">
        <f>Payroll!O13*$C14</f>
        <v>24.5364</v>
      </c>
      <c r="P14" s="47">
        <f t="shared" si="0"/>
        <v>294.43680000000006</v>
      </c>
    </row>
    <row r="15" spans="1:16" x14ac:dyDescent="0.25">
      <c r="A15" t="s">
        <v>140</v>
      </c>
      <c r="B15">
        <v>3</v>
      </c>
      <c r="C15" s="58">
        <v>8.8900000000000007E-2</v>
      </c>
      <c r="D15" s="47">
        <f>Payroll!D14*$C15</f>
        <v>347.59900000000005</v>
      </c>
      <c r="E15" s="47">
        <f>Payroll!E14*$C15</f>
        <v>347.59900000000005</v>
      </c>
      <c r="F15" s="47">
        <f>Payroll!F14*$C15</f>
        <v>347.59900000000005</v>
      </c>
      <c r="G15" s="47">
        <f>Payroll!G14*$C15</f>
        <v>347.59900000000005</v>
      </c>
      <c r="H15" s="47">
        <f>Payroll!H14*$C15</f>
        <v>521.39850000000001</v>
      </c>
      <c r="I15" s="47">
        <f>Payroll!I14*$C15</f>
        <v>347.59900000000005</v>
      </c>
      <c r="J15" s="47">
        <f>Payroll!J14*$C15</f>
        <v>347.59900000000005</v>
      </c>
      <c r="K15" s="47">
        <f>Payroll!K14*$C15</f>
        <v>347.59900000000005</v>
      </c>
      <c r="L15" s="47">
        <f>Payroll!L14*$C15</f>
        <v>347.59900000000005</v>
      </c>
      <c r="M15" s="47">
        <f>Payroll!M14*$C15</f>
        <v>347.59900000000005</v>
      </c>
      <c r="N15" s="47">
        <f>Payroll!N14*$C15</f>
        <v>521.39850000000001</v>
      </c>
      <c r="O15" s="47">
        <f>Payroll!O14*$C15</f>
        <v>347.59900000000005</v>
      </c>
      <c r="P15" s="47">
        <f t="shared" si="0"/>
        <v>4518.7870000000012</v>
      </c>
    </row>
    <row r="16" spans="1:16" x14ac:dyDescent="0.25">
      <c r="A16" t="s">
        <v>141</v>
      </c>
      <c r="B16">
        <v>3</v>
      </c>
      <c r="C16" s="58">
        <v>8.8900000000000007E-2</v>
      </c>
      <c r="D16" s="47">
        <f>Payroll!D15*$C16</f>
        <v>18.1356</v>
      </c>
      <c r="E16" s="47">
        <f>Payroll!E15*$C16</f>
        <v>18.1356</v>
      </c>
      <c r="F16" s="47">
        <f>Payroll!F15*$C16</f>
        <v>18.1356</v>
      </c>
      <c r="G16" s="47">
        <f>Payroll!G15*$C16</f>
        <v>18.1356</v>
      </c>
      <c r="H16" s="47">
        <f>Payroll!H15*$C16</f>
        <v>18.1356</v>
      </c>
      <c r="I16" s="47">
        <f>Payroll!I15*$C16</f>
        <v>18.1356</v>
      </c>
      <c r="J16" s="47">
        <f>Payroll!J15*$C16</f>
        <v>18.1356</v>
      </c>
      <c r="K16" s="47">
        <f>Payroll!K15*$C16</f>
        <v>18.1356</v>
      </c>
      <c r="L16" s="47">
        <f>Payroll!L15*$C16</f>
        <v>18.1356</v>
      </c>
      <c r="M16" s="47">
        <f>Payroll!M15*$C16</f>
        <v>18.1356</v>
      </c>
      <c r="N16" s="47">
        <f>Payroll!N15*$C16</f>
        <v>18.1356</v>
      </c>
      <c r="O16" s="47">
        <f>Payroll!O15*$C16</f>
        <v>18.1356</v>
      </c>
      <c r="P16" s="47">
        <f t="shared" si="0"/>
        <v>217.62720000000004</v>
      </c>
    </row>
    <row r="17" spans="1:18" x14ac:dyDescent="0.25">
      <c r="A17" t="s">
        <v>73</v>
      </c>
      <c r="B17">
        <v>3</v>
      </c>
      <c r="C17" s="58">
        <v>8.8900000000000007E-2</v>
      </c>
      <c r="D17" s="47">
        <f>Payroll!D16*$C17</f>
        <v>470.28100000000006</v>
      </c>
      <c r="E17" s="47">
        <f>Payroll!E16*$C17</f>
        <v>470.28100000000006</v>
      </c>
      <c r="F17" s="47">
        <f>Payroll!F16*$C17</f>
        <v>470.28100000000006</v>
      </c>
      <c r="G17" s="47">
        <f>Payroll!G16*$C17</f>
        <v>470.28100000000006</v>
      </c>
      <c r="H17" s="47">
        <f>Payroll!H16*$C17</f>
        <v>705.42150000000004</v>
      </c>
      <c r="I17" s="47">
        <f>Payroll!I16*$C17</f>
        <v>470.28100000000006</v>
      </c>
      <c r="J17" s="47">
        <f>Payroll!J16*$C17</f>
        <v>470.28100000000006</v>
      </c>
      <c r="K17" s="47">
        <f>Payroll!K16*$C17</f>
        <v>470.28100000000006</v>
      </c>
      <c r="L17" s="47">
        <f>Payroll!L16*$C17</f>
        <v>470.28100000000006</v>
      </c>
      <c r="M17" s="47">
        <f>Payroll!M16*$C17</f>
        <v>470.28100000000006</v>
      </c>
      <c r="N17" s="47">
        <f>Payroll!N16*$C17</f>
        <v>705.42150000000004</v>
      </c>
      <c r="O17" s="47">
        <f>Payroll!O16*$C17</f>
        <v>470.28100000000006</v>
      </c>
      <c r="P17" s="47">
        <f t="shared" si="0"/>
        <v>6113.6530000000002</v>
      </c>
    </row>
    <row r="18" spans="1:18" x14ac:dyDescent="0.25">
      <c r="A18" t="s">
        <v>77</v>
      </c>
      <c r="B18">
        <v>3</v>
      </c>
      <c r="C18" s="58">
        <v>8.8900000000000007E-2</v>
      </c>
      <c r="D18" s="47">
        <f>Payroll!D17*$C18</f>
        <v>24.5364</v>
      </c>
      <c r="E18" s="47">
        <f>Payroll!E17*$C18</f>
        <v>24.5364</v>
      </c>
      <c r="F18" s="47">
        <f>Payroll!F17*$C18</f>
        <v>24.5364</v>
      </c>
      <c r="G18" s="47">
        <f>Payroll!G17*$C18</f>
        <v>24.5364</v>
      </c>
      <c r="H18" s="47">
        <f>Payroll!H17*$C18</f>
        <v>24.5364</v>
      </c>
      <c r="I18" s="47">
        <f>Payroll!I17*$C18</f>
        <v>24.5364</v>
      </c>
      <c r="J18" s="47">
        <f>Payroll!J17*$C18</f>
        <v>24.5364</v>
      </c>
      <c r="K18" s="47">
        <f>Payroll!K17*$C18</f>
        <v>24.5364</v>
      </c>
      <c r="L18" s="47">
        <f>Payroll!L17*$C18</f>
        <v>24.5364</v>
      </c>
      <c r="M18" s="47">
        <f>Payroll!M17*$C18</f>
        <v>24.5364</v>
      </c>
      <c r="N18" s="47">
        <f>Payroll!N17*$C18</f>
        <v>24.5364</v>
      </c>
      <c r="O18" s="47">
        <f>Payroll!O17*$C18</f>
        <v>24.5364</v>
      </c>
      <c r="P18" s="47">
        <f t="shared" si="0"/>
        <v>294.43680000000006</v>
      </c>
    </row>
    <row r="19" spans="1:18" x14ac:dyDescent="0.25">
      <c r="A19" t="s">
        <v>78</v>
      </c>
      <c r="B19">
        <v>1</v>
      </c>
      <c r="C19" s="59" t="s">
        <v>147</v>
      </c>
      <c r="D19" s="47">
        <v>0</v>
      </c>
      <c r="E19" s="47">
        <v>0</v>
      </c>
      <c r="F19" s="47">
        <v>0</v>
      </c>
      <c r="G19" s="47">
        <v>0</v>
      </c>
      <c r="H19" s="47">
        <v>0</v>
      </c>
      <c r="I19" s="47">
        <v>0</v>
      </c>
      <c r="J19" s="47">
        <v>0</v>
      </c>
      <c r="K19" s="47">
        <v>0</v>
      </c>
      <c r="L19" s="47">
        <v>0</v>
      </c>
      <c r="M19" s="47">
        <v>0</v>
      </c>
      <c r="N19" s="47">
        <v>0</v>
      </c>
      <c r="O19" s="47">
        <v>0</v>
      </c>
      <c r="P19" s="47">
        <f t="shared" si="0"/>
        <v>0</v>
      </c>
    </row>
    <row r="20" spans="1:18" x14ac:dyDescent="0.25">
      <c r="A20" t="s">
        <v>133</v>
      </c>
      <c r="B20">
        <v>2</v>
      </c>
      <c r="C20" s="59" t="s">
        <v>147</v>
      </c>
      <c r="D20" s="47">
        <v>0</v>
      </c>
      <c r="E20" s="47">
        <v>0</v>
      </c>
      <c r="F20" s="47">
        <v>0</v>
      </c>
      <c r="G20" s="47">
        <v>0</v>
      </c>
      <c r="H20" s="47">
        <v>0</v>
      </c>
      <c r="I20" s="47">
        <v>0</v>
      </c>
      <c r="J20" s="47">
        <v>0</v>
      </c>
      <c r="K20" s="47">
        <v>0</v>
      </c>
      <c r="L20" s="47">
        <v>0</v>
      </c>
      <c r="M20" s="47">
        <v>0</v>
      </c>
      <c r="N20" s="47">
        <v>0</v>
      </c>
      <c r="O20" s="47">
        <v>0</v>
      </c>
      <c r="P20" s="47">
        <v>0</v>
      </c>
    </row>
    <row r="21" spans="1:18" x14ac:dyDescent="0.25">
      <c r="D21" s="9">
        <f t="shared" ref="D21:P21" si="1">SUM(D6:D20)</f>
        <v>2581.6560000000004</v>
      </c>
      <c r="E21" s="9">
        <f t="shared" si="1"/>
        <v>2581.6560000000004</v>
      </c>
      <c r="F21" s="9">
        <f t="shared" si="1"/>
        <v>2581.6560000000004</v>
      </c>
      <c r="G21" s="9">
        <f t="shared" si="1"/>
        <v>2581.6560000000004</v>
      </c>
      <c r="H21" s="9">
        <f t="shared" si="1"/>
        <v>3808.4759999999997</v>
      </c>
      <c r="I21" s="9">
        <f t="shared" si="1"/>
        <v>2581.6560000000004</v>
      </c>
      <c r="J21" s="9">
        <f t="shared" si="1"/>
        <v>2581.6560000000004</v>
      </c>
      <c r="K21" s="9">
        <f t="shared" si="1"/>
        <v>2581.6560000000004</v>
      </c>
      <c r="L21" s="9">
        <f t="shared" si="1"/>
        <v>2581.6560000000004</v>
      </c>
      <c r="M21" s="9">
        <f t="shared" si="1"/>
        <v>2581.6560000000004</v>
      </c>
      <c r="N21" s="9">
        <f t="shared" si="1"/>
        <v>3808.4759999999997</v>
      </c>
      <c r="O21" s="9">
        <f t="shared" si="1"/>
        <v>2581.6560000000004</v>
      </c>
      <c r="P21" s="9">
        <f t="shared" si="1"/>
        <v>33433.51200000001</v>
      </c>
      <c r="R21" s="17"/>
    </row>
    <row r="22" spans="1:18" x14ac:dyDescent="0.25"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</sheetData>
  <printOptions headings="1" gridLines="1"/>
  <pageMargins left="0.7" right="0.7" top="0.75" bottom="0.75" header="0.3" footer="0.3"/>
  <pageSetup scale="6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FB610-BF44-4F4E-9D2E-7682C46B396E}">
  <sheetPr>
    <pageSetUpPr fitToPage="1"/>
  </sheetPr>
  <dimension ref="A1:Q33"/>
  <sheetViews>
    <sheetView workbookViewId="0">
      <selection activeCell="P4" sqref="P4"/>
    </sheetView>
  </sheetViews>
  <sheetFormatPr defaultRowHeight="15" x14ac:dyDescent="0.25"/>
  <cols>
    <col min="1" max="1" width="29.7109375" customWidth="1"/>
    <col min="15" max="15" width="1.85546875" customWidth="1"/>
    <col min="16" max="16" width="9.7109375" bestFit="1" customWidth="1"/>
  </cols>
  <sheetData>
    <row r="1" spans="1:16" x14ac:dyDescent="0.25">
      <c r="A1" s="2" t="s">
        <v>0</v>
      </c>
    </row>
    <row r="2" spans="1:16" x14ac:dyDescent="0.25">
      <c r="A2" s="2" t="s">
        <v>43</v>
      </c>
    </row>
    <row r="3" spans="1:16" x14ac:dyDescent="0.25">
      <c r="A3" s="3">
        <v>46203</v>
      </c>
      <c r="P3" s="18">
        <f>+N3-N11</f>
        <v>0</v>
      </c>
    </row>
    <row r="4" spans="1:16" x14ac:dyDescent="0.25"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38">
        <v>45838</v>
      </c>
    </row>
    <row r="5" spans="1:16" x14ac:dyDescent="0.25">
      <c r="A5" s="2" t="s">
        <v>51</v>
      </c>
      <c r="B5" s="10" t="s">
        <v>6</v>
      </c>
      <c r="C5" s="10" t="s">
        <v>5</v>
      </c>
      <c r="D5" s="10" t="s">
        <v>7</v>
      </c>
      <c r="E5" s="10" t="s">
        <v>8</v>
      </c>
      <c r="F5" s="10" t="s">
        <v>9</v>
      </c>
      <c r="G5" s="10" t="s">
        <v>10</v>
      </c>
      <c r="H5" s="10" t="s">
        <v>11</v>
      </c>
      <c r="I5" s="10" t="s">
        <v>12</v>
      </c>
      <c r="J5" s="10" t="s">
        <v>13</v>
      </c>
      <c r="K5" s="10" t="s">
        <v>14</v>
      </c>
      <c r="L5" s="10" t="s">
        <v>15</v>
      </c>
      <c r="M5" s="10" t="s">
        <v>16</v>
      </c>
      <c r="N5" s="10" t="s">
        <v>17</v>
      </c>
      <c r="O5" s="7"/>
      <c r="P5" s="10" t="s">
        <v>1</v>
      </c>
    </row>
    <row r="6" spans="1:16" x14ac:dyDescent="0.25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6"/>
    </row>
    <row r="7" spans="1:16" x14ac:dyDescent="0.25">
      <c r="A7" t="s">
        <v>52</v>
      </c>
      <c r="B7" s="4">
        <v>115</v>
      </c>
      <c r="C7" s="4">
        <v>115</v>
      </c>
      <c r="D7" s="4">
        <v>115</v>
      </c>
      <c r="E7" s="4">
        <v>115</v>
      </c>
      <c r="F7" s="4">
        <v>115</v>
      </c>
      <c r="G7" s="4">
        <v>115</v>
      </c>
      <c r="H7" s="4">
        <v>115</v>
      </c>
      <c r="I7" s="4">
        <v>115</v>
      </c>
      <c r="J7" s="4">
        <v>115</v>
      </c>
      <c r="K7" s="4">
        <v>115</v>
      </c>
      <c r="L7" s="4">
        <v>115</v>
      </c>
      <c r="M7" s="4">
        <v>115</v>
      </c>
      <c r="N7" s="4">
        <f t="shared" ref="N7:N21" si="0">SUM(B7:M7)</f>
        <v>1380</v>
      </c>
      <c r="O7" s="5"/>
      <c r="P7" s="4">
        <v>1380</v>
      </c>
    </row>
    <row r="8" spans="1:16" x14ac:dyDescent="0.25">
      <c r="A8" t="s">
        <v>53</v>
      </c>
      <c r="B8" s="4">
        <v>750</v>
      </c>
      <c r="C8" s="4">
        <v>750</v>
      </c>
      <c r="D8" s="4">
        <v>750</v>
      </c>
      <c r="E8" s="4">
        <v>750</v>
      </c>
      <c r="F8" s="4">
        <v>750</v>
      </c>
      <c r="G8" s="4">
        <v>750</v>
      </c>
      <c r="H8" s="4">
        <v>750</v>
      </c>
      <c r="I8" s="4">
        <v>750</v>
      </c>
      <c r="J8" s="4">
        <v>750</v>
      </c>
      <c r="K8" s="4">
        <v>750</v>
      </c>
      <c r="L8" s="4">
        <v>750</v>
      </c>
      <c r="M8" s="4">
        <v>750</v>
      </c>
      <c r="N8" s="4">
        <f t="shared" si="0"/>
        <v>9000</v>
      </c>
      <c r="O8" s="5"/>
      <c r="P8" s="4">
        <v>9000</v>
      </c>
    </row>
    <row r="9" spans="1:16" x14ac:dyDescent="0.25">
      <c r="A9" t="s">
        <v>65</v>
      </c>
      <c r="B9" s="4"/>
      <c r="C9" s="4"/>
      <c r="D9" s="4"/>
      <c r="E9" s="4"/>
      <c r="F9" s="4"/>
      <c r="G9" s="4"/>
      <c r="H9" s="4">
        <v>285</v>
      </c>
      <c r="I9" s="4"/>
      <c r="J9" s="4"/>
      <c r="K9" s="4"/>
      <c r="L9" s="4"/>
      <c r="M9" s="4"/>
      <c r="N9" s="4">
        <f t="shared" si="0"/>
        <v>285</v>
      </c>
      <c r="O9" s="5"/>
      <c r="P9" s="4">
        <v>285</v>
      </c>
    </row>
    <row r="10" spans="1:16" x14ac:dyDescent="0.25"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>
        <f t="shared" si="0"/>
        <v>0</v>
      </c>
      <c r="O10" s="5"/>
      <c r="P10" s="4"/>
    </row>
    <row r="11" spans="1:16" x14ac:dyDescent="0.25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>
        <f t="shared" si="0"/>
        <v>0</v>
      </c>
      <c r="O11" s="5"/>
      <c r="P11" s="4"/>
    </row>
    <row r="12" spans="1:16" x14ac:dyDescent="0.25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>
        <f t="shared" si="0"/>
        <v>0</v>
      </c>
      <c r="O12" s="5"/>
      <c r="P12" s="4"/>
    </row>
    <row r="13" spans="1:16" x14ac:dyDescent="0.25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>
        <f t="shared" si="0"/>
        <v>0</v>
      </c>
      <c r="O13" s="5"/>
      <c r="P13" s="4"/>
    </row>
    <row r="14" spans="1:16" x14ac:dyDescent="0.25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>
        <f t="shared" si="0"/>
        <v>0</v>
      </c>
      <c r="O14" s="5"/>
      <c r="P14" s="4"/>
    </row>
    <row r="15" spans="1:16" x14ac:dyDescent="0.25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>
        <f t="shared" si="0"/>
        <v>0</v>
      </c>
      <c r="O15" s="5"/>
      <c r="P15" s="4"/>
    </row>
    <row r="16" spans="1:16" x14ac:dyDescent="0.25"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>
        <f t="shared" si="0"/>
        <v>0</v>
      </c>
      <c r="O16" s="5"/>
      <c r="P16" s="4"/>
    </row>
    <row r="17" spans="1:17" x14ac:dyDescent="0.25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>
        <f t="shared" si="0"/>
        <v>0</v>
      </c>
      <c r="O17" s="5"/>
      <c r="P17" s="4"/>
    </row>
    <row r="18" spans="1:17" x14ac:dyDescent="0.25"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>
        <f t="shared" si="0"/>
        <v>0</v>
      </c>
      <c r="O18" s="5"/>
      <c r="P18" s="4"/>
    </row>
    <row r="19" spans="1:17" x14ac:dyDescent="0.25"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>
        <f t="shared" si="0"/>
        <v>0</v>
      </c>
      <c r="O19" s="5"/>
      <c r="P19" s="4"/>
    </row>
    <row r="20" spans="1:17" x14ac:dyDescent="0.2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>
        <f t="shared" si="0"/>
        <v>0</v>
      </c>
      <c r="O20" s="5"/>
      <c r="P20" s="4"/>
    </row>
    <row r="21" spans="1:17" x14ac:dyDescent="0.25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>
        <f t="shared" si="0"/>
        <v>0</v>
      </c>
      <c r="O21" s="5"/>
      <c r="P21" s="4"/>
    </row>
    <row r="22" spans="1:17" x14ac:dyDescent="0.25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5"/>
      <c r="P22" s="4"/>
    </row>
    <row r="23" spans="1:17" x14ac:dyDescent="0.25">
      <c r="B23" s="9">
        <f>SUM(B6:B22)</f>
        <v>865</v>
      </c>
      <c r="C23" s="9">
        <f t="shared" ref="C23:P23" si="1">SUM(C6:C22)</f>
        <v>865</v>
      </c>
      <c r="D23" s="9">
        <f t="shared" si="1"/>
        <v>865</v>
      </c>
      <c r="E23" s="9">
        <f t="shared" si="1"/>
        <v>865</v>
      </c>
      <c r="F23" s="9">
        <f t="shared" si="1"/>
        <v>865</v>
      </c>
      <c r="G23" s="9">
        <f t="shared" si="1"/>
        <v>865</v>
      </c>
      <c r="H23" s="9">
        <f t="shared" si="1"/>
        <v>1150</v>
      </c>
      <c r="I23" s="9">
        <f t="shared" si="1"/>
        <v>865</v>
      </c>
      <c r="J23" s="9">
        <f t="shared" si="1"/>
        <v>865</v>
      </c>
      <c r="K23" s="9">
        <f t="shared" si="1"/>
        <v>865</v>
      </c>
      <c r="L23" s="9">
        <f t="shared" si="1"/>
        <v>865</v>
      </c>
      <c r="M23" s="9">
        <f t="shared" si="1"/>
        <v>865</v>
      </c>
      <c r="N23" s="9">
        <f t="shared" si="1"/>
        <v>10665</v>
      </c>
      <c r="O23" s="5"/>
      <c r="P23" s="9">
        <f t="shared" si="1"/>
        <v>10665</v>
      </c>
      <c r="Q23" s="41">
        <f>(+N23-P23)/P23</f>
        <v>0</v>
      </c>
    </row>
    <row r="24" spans="1:17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5"/>
      <c r="P24" s="4"/>
    </row>
    <row r="25" spans="1:17" x14ac:dyDescent="0.25">
      <c r="A25" t="s">
        <v>54</v>
      </c>
    </row>
    <row r="26" spans="1:17" x14ac:dyDescent="0.25">
      <c r="A26" t="s">
        <v>56</v>
      </c>
    </row>
    <row r="27" spans="1:17" x14ac:dyDescent="0.25">
      <c r="A27" t="s">
        <v>55</v>
      </c>
    </row>
    <row r="28" spans="1:17" x14ac:dyDescent="0.25">
      <c r="A28" t="s">
        <v>26</v>
      </c>
    </row>
    <row r="29" spans="1:17" x14ac:dyDescent="0.25">
      <c r="A29" t="s">
        <v>117</v>
      </c>
    </row>
    <row r="33" spans="3:3" x14ac:dyDescent="0.25">
      <c r="C33" s="17"/>
    </row>
  </sheetData>
  <printOptions headings="1" gridLines="1"/>
  <pageMargins left="0.7" right="0.7" top="0.75" bottom="0.75" header="0.3" footer="0.3"/>
  <pageSetup scale="7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0D2F5-65BC-45AE-AF88-D5363DF9481C}">
  <sheetPr>
    <pageSetUpPr fitToPage="1"/>
  </sheetPr>
  <dimension ref="A1:P33"/>
  <sheetViews>
    <sheetView workbookViewId="0">
      <selection activeCell="F19" sqref="F19"/>
    </sheetView>
  </sheetViews>
  <sheetFormatPr defaultRowHeight="15" x14ac:dyDescent="0.25"/>
  <cols>
    <col min="1" max="1" width="36" bestFit="1" customWidth="1"/>
    <col min="15" max="15" width="2" customWidth="1"/>
    <col min="16" max="16" width="9.7109375" bestFit="1" customWidth="1"/>
  </cols>
  <sheetData>
    <row r="1" spans="1:16" x14ac:dyDescent="0.25">
      <c r="A1" s="2" t="s">
        <v>0</v>
      </c>
    </row>
    <row r="2" spans="1:16" x14ac:dyDescent="0.25">
      <c r="A2" s="2" t="s">
        <v>43</v>
      </c>
    </row>
    <row r="3" spans="1:16" x14ac:dyDescent="0.25">
      <c r="A3" s="3">
        <v>46203</v>
      </c>
      <c r="P3" s="18">
        <f>+N3-N11</f>
        <v>-1350</v>
      </c>
    </row>
    <row r="4" spans="1:16" x14ac:dyDescent="0.25"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38">
        <v>45838</v>
      </c>
    </row>
    <row r="5" spans="1:16" x14ac:dyDescent="0.25">
      <c r="A5" s="2" t="s">
        <v>26</v>
      </c>
      <c r="B5" s="10" t="s">
        <v>6</v>
      </c>
      <c r="C5" s="10" t="s">
        <v>5</v>
      </c>
      <c r="D5" s="10" t="s">
        <v>7</v>
      </c>
      <c r="E5" s="10" t="s">
        <v>8</v>
      </c>
      <c r="F5" s="10" t="s">
        <v>9</v>
      </c>
      <c r="G5" s="10" t="s">
        <v>10</v>
      </c>
      <c r="H5" s="10" t="s">
        <v>11</v>
      </c>
      <c r="I5" s="10" t="s">
        <v>12</v>
      </c>
      <c r="J5" s="10" t="s">
        <v>13</v>
      </c>
      <c r="K5" s="10" t="s">
        <v>14</v>
      </c>
      <c r="L5" s="10" t="s">
        <v>15</v>
      </c>
      <c r="M5" s="10" t="s">
        <v>16</v>
      </c>
      <c r="N5" s="10" t="s">
        <v>17</v>
      </c>
      <c r="O5" s="7"/>
      <c r="P5" s="10" t="s">
        <v>1</v>
      </c>
    </row>
    <row r="6" spans="1:16" x14ac:dyDescent="0.25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6"/>
    </row>
    <row r="7" spans="1:16" x14ac:dyDescent="0.25">
      <c r="A7" t="s">
        <v>148</v>
      </c>
      <c r="B7" s="4"/>
      <c r="C7" s="4">
        <v>800</v>
      </c>
      <c r="D7" s="4">
        <v>800</v>
      </c>
      <c r="E7" s="4">
        <v>800</v>
      </c>
      <c r="F7" s="4">
        <v>800</v>
      </c>
      <c r="G7" s="4">
        <v>800</v>
      </c>
      <c r="H7" s="4">
        <v>800</v>
      </c>
      <c r="I7" s="4">
        <v>800</v>
      </c>
      <c r="J7" s="4">
        <v>800</v>
      </c>
      <c r="K7" s="4">
        <v>800</v>
      </c>
      <c r="L7" s="4">
        <v>800</v>
      </c>
      <c r="M7" s="4"/>
      <c r="N7" s="4">
        <f t="shared" ref="N7:N21" si="0">SUM(B7:M7)</f>
        <v>8000</v>
      </c>
      <c r="O7" s="5"/>
      <c r="P7" s="4"/>
    </row>
    <row r="8" spans="1:16" x14ac:dyDescent="0.25">
      <c r="A8" t="s">
        <v>119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>
        <f t="shared" si="0"/>
        <v>0</v>
      </c>
      <c r="O8" s="5"/>
      <c r="P8" s="4">
        <v>0</v>
      </c>
    </row>
    <row r="9" spans="1:16" x14ac:dyDescent="0.25">
      <c r="A9" t="s">
        <v>129</v>
      </c>
      <c r="B9" s="4"/>
      <c r="C9" s="4"/>
      <c r="D9" s="4"/>
      <c r="E9" s="4"/>
      <c r="F9" s="4"/>
      <c r="G9" s="4"/>
      <c r="H9" s="4">
        <f>450*3</f>
        <v>1350</v>
      </c>
      <c r="I9" s="4"/>
      <c r="J9" s="4"/>
      <c r="K9" s="4"/>
      <c r="L9" s="4"/>
      <c r="M9" s="4"/>
      <c r="N9" s="4">
        <f t="shared" si="0"/>
        <v>1350</v>
      </c>
      <c r="O9" s="5"/>
      <c r="P9" s="4">
        <v>1350</v>
      </c>
    </row>
    <row r="10" spans="1:16" x14ac:dyDescent="0.25">
      <c r="A10" t="s">
        <v>57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>
        <f t="shared" si="0"/>
        <v>0</v>
      </c>
      <c r="O10" s="5"/>
      <c r="P10" s="4"/>
    </row>
    <row r="11" spans="1:16" x14ac:dyDescent="0.25">
      <c r="A11" t="s">
        <v>121</v>
      </c>
      <c r="B11" s="4"/>
      <c r="C11" s="4"/>
      <c r="D11" s="4"/>
      <c r="E11" s="4"/>
      <c r="F11" s="4"/>
      <c r="G11" s="4"/>
      <c r="H11" s="4"/>
      <c r="I11" s="4"/>
      <c r="J11" s="4">
        <v>1350</v>
      </c>
      <c r="K11" s="4"/>
      <c r="L11" s="4"/>
      <c r="M11" s="4"/>
      <c r="N11" s="4">
        <f t="shared" si="0"/>
        <v>1350</v>
      </c>
      <c r="O11" s="5"/>
      <c r="P11" s="4">
        <v>1350</v>
      </c>
    </row>
    <row r="12" spans="1:16" x14ac:dyDescent="0.25">
      <c r="A12" t="s">
        <v>124</v>
      </c>
      <c r="B12" s="4"/>
      <c r="C12" s="4"/>
      <c r="D12" s="4"/>
      <c r="E12" s="4"/>
      <c r="F12" s="4">
        <v>1000</v>
      </c>
      <c r="G12" s="4"/>
      <c r="H12" s="4"/>
      <c r="I12" s="4"/>
      <c r="J12" s="4"/>
      <c r="K12" s="4"/>
      <c r="L12" s="4"/>
      <c r="M12" s="4"/>
      <c r="N12" s="4">
        <f t="shared" si="0"/>
        <v>1000</v>
      </c>
      <c r="O12" s="5"/>
      <c r="P12" s="4">
        <v>825</v>
      </c>
    </row>
    <row r="13" spans="1:16" x14ac:dyDescent="0.25">
      <c r="A13" t="s">
        <v>125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>
        <f t="shared" si="0"/>
        <v>0</v>
      </c>
      <c r="O13" s="5"/>
      <c r="P13" s="4">
        <v>0</v>
      </c>
    </row>
    <row r="14" spans="1:16" x14ac:dyDescent="0.25">
      <c r="A14" t="s">
        <v>130</v>
      </c>
      <c r="B14" s="4">
        <v>250</v>
      </c>
      <c r="C14" s="4">
        <v>250</v>
      </c>
      <c r="D14" s="4">
        <v>250</v>
      </c>
      <c r="E14" s="4">
        <v>250</v>
      </c>
      <c r="F14" s="4">
        <v>250</v>
      </c>
      <c r="G14" s="4">
        <v>250</v>
      </c>
      <c r="H14" s="4">
        <v>250</v>
      </c>
      <c r="I14" s="4">
        <v>250</v>
      </c>
      <c r="J14" s="4">
        <v>250</v>
      </c>
      <c r="K14" s="4">
        <v>250</v>
      </c>
      <c r="L14" s="4">
        <v>250</v>
      </c>
      <c r="M14" s="4">
        <v>250</v>
      </c>
      <c r="N14" s="4">
        <f t="shared" si="0"/>
        <v>3000</v>
      </c>
      <c r="O14" s="5"/>
      <c r="P14" s="4">
        <v>3000</v>
      </c>
    </row>
    <row r="15" spans="1:16" x14ac:dyDescent="0.25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>
        <f t="shared" si="0"/>
        <v>0</v>
      </c>
      <c r="O15" s="5"/>
      <c r="P15" s="4"/>
    </row>
    <row r="16" spans="1:16" x14ac:dyDescent="0.25"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>
        <f t="shared" si="0"/>
        <v>0</v>
      </c>
      <c r="O16" s="5"/>
      <c r="P16" s="4"/>
    </row>
    <row r="17" spans="1:16" x14ac:dyDescent="0.25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>
        <f t="shared" si="0"/>
        <v>0</v>
      </c>
      <c r="O17" s="5"/>
      <c r="P17" s="4"/>
    </row>
    <row r="18" spans="1:16" x14ac:dyDescent="0.25"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>
        <f t="shared" si="0"/>
        <v>0</v>
      </c>
      <c r="O18" s="5"/>
      <c r="P18" s="4"/>
    </row>
    <row r="19" spans="1:16" x14ac:dyDescent="0.25"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>
        <f t="shared" si="0"/>
        <v>0</v>
      </c>
      <c r="O19" s="5"/>
      <c r="P19" s="4"/>
    </row>
    <row r="20" spans="1:16" x14ac:dyDescent="0.2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>
        <f t="shared" si="0"/>
        <v>0</v>
      </c>
      <c r="O20" s="5"/>
      <c r="P20" s="4"/>
    </row>
    <row r="21" spans="1:16" x14ac:dyDescent="0.25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>
        <f t="shared" si="0"/>
        <v>0</v>
      </c>
      <c r="O21" s="5"/>
      <c r="P21" s="4"/>
    </row>
    <row r="22" spans="1:16" x14ac:dyDescent="0.25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5"/>
      <c r="P22" s="4"/>
    </row>
    <row r="23" spans="1:16" x14ac:dyDescent="0.25">
      <c r="B23" s="9">
        <f>SUM(B6:B22)</f>
        <v>250</v>
      </c>
      <c r="C23" s="9">
        <f t="shared" ref="C23:P23" si="1">SUM(C6:C22)</f>
        <v>1050</v>
      </c>
      <c r="D23" s="9">
        <f t="shared" si="1"/>
        <v>1050</v>
      </c>
      <c r="E23" s="9">
        <f t="shared" si="1"/>
        <v>1050</v>
      </c>
      <c r="F23" s="9">
        <f t="shared" si="1"/>
        <v>2050</v>
      </c>
      <c r="G23" s="9">
        <f t="shared" si="1"/>
        <v>1050</v>
      </c>
      <c r="H23" s="9">
        <f t="shared" si="1"/>
        <v>2400</v>
      </c>
      <c r="I23" s="9">
        <f t="shared" si="1"/>
        <v>1050</v>
      </c>
      <c r="J23" s="9">
        <f t="shared" si="1"/>
        <v>2400</v>
      </c>
      <c r="K23" s="9">
        <f t="shared" si="1"/>
        <v>1050</v>
      </c>
      <c r="L23" s="9">
        <f t="shared" si="1"/>
        <v>1050</v>
      </c>
      <c r="M23" s="9">
        <f t="shared" si="1"/>
        <v>250</v>
      </c>
      <c r="N23" s="9">
        <f t="shared" si="1"/>
        <v>14700</v>
      </c>
      <c r="O23" s="5"/>
      <c r="P23" s="9">
        <f t="shared" si="1"/>
        <v>6525</v>
      </c>
    </row>
    <row r="24" spans="1:16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5"/>
      <c r="P24" s="4"/>
    </row>
    <row r="25" spans="1:16" x14ac:dyDescent="0.25">
      <c r="A25" t="s">
        <v>120</v>
      </c>
    </row>
    <row r="33" spans="3:3" x14ac:dyDescent="0.25">
      <c r="C33" s="17">
        <f>SUM(C6:C32)</f>
        <v>2100</v>
      </c>
    </row>
  </sheetData>
  <printOptions headings="1" gridLines="1"/>
  <pageMargins left="0.7" right="0.7" top="0.75" bottom="0.75" header="0.3" footer="0.3"/>
  <pageSetup scale="7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48630-00E3-4AEB-8D4E-69CD29E663B5}">
  <sheetPr>
    <pageSetUpPr fitToPage="1"/>
  </sheetPr>
  <dimension ref="A1:P33"/>
  <sheetViews>
    <sheetView workbookViewId="0">
      <selection activeCell="P16" sqref="P16"/>
    </sheetView>
  </sheetViews>
  <sheetFormatPr defaultRowHeight="15" x14ac:dyDescent="0.25"/>
  <cols>
    <col min="1" max="1" width="31.85546875" bestFit="1" customWidth="1"/>
    <col min="15" max="15" width="1.85546875" customWidth="1"/>
    <col min="16" max="16" width="9.7109375" bestFit="1" customWidth="1"/>
  </cols>
  <sheetData>
    <row r="1" spans="1:16" x14ac:dyDescent="0.25">
      <c r="A1" s="2" t="s">
        <v>0</v>
      </c>
    </row>
    <row r="2" spans="1:16" x14ac:dyDescent="0.25">
      <c r="A2" s="2" t="s">
        <v>43</v>
      </c>
    </row>
    <row r="3" spans="1:16" x14ac:dyDescent="0.25">
      <c r="A3" s="3">
        <v>46203</v>
      </c>
      <c r="P3" s="18"/>
    </row>
    <row r="4" spans="1:16" x14ac:dyDescent="0.25"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38">
        <v>45838</v>
      </c>
    </row>
    <row r="5" spans="1:16" x14ac:dyDescent="0.25">
      <c r="A5" s="2" t="s">
        <v>28</v>
      </c>
      <c r="B5" s="10" t="s">
        <v>6</v>
      </c>
      <c r="C5" s="10" t="s">
        <v>5</v>
      </c>
      <c r="D5" s="10" t="s">
        <v>7</v>
      </c>
      <c r="E5" s="10" t="s">
        <v>8</v>
      </c>
      <c r="F5" s="10" t="s">
        <v>9</v>
      </c>
      <c r="G5" s="10" t="s">
        <v>10</v>
      </c>
      <c r="H5" s="10" t="s">
        <v>11</v>
      </c>
      <c r="I5" s="10" t="s">
        <v>12</v>
      </c>
      <c r="J5" s="10" t="s">
        <v>13</v>
      </c>
      <c r="K5" s="10" t="s">
        <v>14</v>
      </c>
      <c r="L5" s="10" t="s">
        <v>15</v>
      </c>
      <c r="M5" s="10" t="s">
        <v>16</v>
      </c>
      <c r="N5" s="10" t="s">
        <v>17</v>
      </c>
      <c r="O5" s="7"/>
      <c r="P5" s="10" t="s">
        <v>1</v>
      </c>
    </row>
    <row r="6" spans="1:16" x14ac:dyDescent="0.25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6"/>
    </row>
    <row r="7" spans="1:16" x14ac:dyDescent="0.25">
      <c r="A7" t="s">
        <v>58</v>
      </c>
      <c r="B7" s="4"/>
      <c r="C7" s="4"/>
      <c r="D7" s="4"/>
      <c r="E7" s="4"/>
      <c r="F7" s="4"/>
      <c r="H7" s="4"/>
      <c r="I7" s="4"/>
      <c r="J7" s="4"/>
      <c r="K7" s="4"/>
      <c r="L7" s="4">
        <v>575</v>
      </c>
      <c r="M7" s="4"/>
      <c r="N7" s="4">
        <f t="shared" ref="N7:N21" si="0">SUM(B7:M7)</f>
        <v>575</v>
      </c>
      <c r="O7" s="5"/>
      <c r="P7" s="4">
        <v>575</v>
      </c>
    </row>
    <row r="8" spans="1:16" x14ac:dyDescent="0.25">
      <c r="A8" t="s">
        <v>59</v>
      </c>
      <c r="B8" s="4"/>
      <c r="C8" s="4"/>
      <c r="D8" s="4"/>
      <c r="E8" s="4"/>
      <c r="F8" s="4"/>
      <c r="G8" s="4"/>
      <c r="H8" s="4"/>
      <c r="I8" s="4"/>
      <c r="J8" s="4"/>
      <c r="L8" s="4">
        <v>130</v>
      </c>
      <c r="M8" s="4"/>
      <c r="N8" s="4">
        <f t="shared" si="0"/>
        <v>130</v>
      </c>
      <c r="O8" s="5"/>
      <c r="P8" s="4">
        <v>130</v>
      </c>
    </row>
    <row r="9" spans="1:16" x14ac:dyDescent="0.25">
      <c r="A9" t="s">
        <v>60</v>
      </c>
      <c r="B9" s="4"/>
      <c r="C9" s="4"/>
      <c r="D9" s="4"/>
      <c r="E9" s="4"/>
      <c r="F9" s="4"/>
      <c r="G9" s="4"/>
      <c r="I9" s="4"/>
      <c r="J9" s="4"/>
      <c r="K9" s="4"/>
      <c r="L9" s="4"/>
      <c r="M9" s="4"/>
      <c r="N9" s="4">
        <f t="shared" si="0"/>
        <v>0</v>
      </c>
      <c r="O9" s="5"/>
      <c r="P9" s="4">
        <v>0</v>
      </c>
    </row>
    <row r="10" spans="1:16" x14ac:dyDescent="0.25">
      <c r="A10" t="s">
        <v>61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>
        <f t="shared" si="0"/>
        <v>0</v>
      </c>
      <c r="O10" s="5"/>
      <c r="P10" s="4">
        <v>0</v>
      </c>
    </row>
    <row r="11" spans="1:16" x14ac:dyDescent="0.25">
      <c r="A11" t="s">
        <v>62</v>
      </c>
      <c r="B11" s="4"/>
      <c r="C11" s="4"/>
      <c r="D11" s="4"/>
      <c r="E11" s="4"/>
      <c r="F11" s="4"/>
      <c r="G11" s="4"/>
      <c r="H11" s="4"/>
      <c r="I11" s="4"/>
      <c r="J11" s="4"/>
      <c r="K11" s="4">
        <v>180</v>
      </c>
      <c r="L11" s="4"/>
      <c r="M11" s="4"/>
      <c r="N11" s="4">
        <f t="shared" si="0"/>
        <v>180</v>
      </c>
      <c r="O11" s="5"/>
      <c r="P11" s="4">
        <v>180</v>
      </c>
    </row>
    <row r="12" spans="1:16" x14ac:dyDescent="0.25">
      <c r="A12" t="s">
        <v>63</v>
      </c>
      <c r="B12" s="4"/>
      <c r="C12" s="4"/>
      <c r="D12" s="4"/>
      <c r="E12" s="4"/>
      <c r="F12" s="4"/>
      <c r="G12" s="4"/>
      <c r="H12" s="4"/>
      <c r="I12" s="4">
        <v>50</v>
      </c>
      <c r="J12" s="4"/>
      <c r="K12" s="4"/>
      <c r="L12" s="4"/>
      <c r="M12" s="4"/>
      <c r="N12" s="4">
        <f t="shared" si="0"/>
        <v>50</v>
      </c>
      <c r="O12" s="5"/>
      <c r="P12" s="4">
        <v>50</v>
      </c>
    </row>
    <row r="13" spans="1:16" x14ac:dyDescent="0.25">
      <c r="A13" t="s">
        <v>64</v>
      </c>
      <c r="B13" s="4"/>
      <c r="C13" s="4"/>
      <c r="D13" s="4"/>
      <c r="E13" s="4">
        <v>175</v>
      </c>
      <c r="F13" s="4"/>
      <c r="G13" s="4"/>
      <c r="H13" s="4"/>
      <c r="I13" s="4"/>
      <c r="J13" s="4"/>
      <c r="K13" s="4"/>
      <c r="L13" s="4"/>
      <c r="M13" s="4"/>
      <c r="N13" s="4">
        <f t="shared" si="0"/>
        <v>175</v>
      </c>
      <c r="O13" s="5"/>
      <c r="P13" s="4">
        <v>175</v>
      </c>
    </row>
    <row r="14" spans="1:16" x14ac:dyDescent="0.25">
      <c r="A14" t="s">
        <v>122</v>
      </c>
      <c r="B14" s="4"/>
      <c r="C14" s="4"/>
      <c r="D14" s="4"/>
      <c r="E14" s="4"/>
      <c r="F14" s="4"/>
      <c r="G14" s="4"/>
      <c r="H14" s="4">
        <v>150</v>
      </c>
      <c r="I14" s="4"/>
      <c r="J14" s="4"/>
      <c r="K14" s="4"/>
      <c r="L14" s="4"/>
      <c r="M14" s="4"/>
      <c r="N14" s="4">
        <f t="shared" si="0"/>
        <v>150</v>
      </c>
      <c r="O14" s="5"/>
      <c r="P14" s="4">
        <v>150</v>
      </c>
    </row>
    <row r="15" spans="1:16" x14ac:dyDescent="0.25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>
        <f t="shared" si="0"/>
        <v>0</v>
      </c>
      <c r="O15" s="5"/>
      <c r="P15" s="4"/>
    </row>
    <row r="16" spans="1:16" x14ac:dyDescent="0.25"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>
        <f t="shared" si="0"/>
        <v>0</v>
      </c>
      <c r="O16" s="5"/>
      <c r="P16" s="4"/>
    </row>
    <row r="17" spans="2:16" x14ac:dyDescent="0.25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>
        <f t="shared" si="0"/>
        <v>0</v>
      </c>
      <c r="O17" s="5"/>
      <c r="P17" s="4"/>
    </row>
    <row r="18" spans="2:16" x14ac:dyDescent="0.25"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>
        <f t="shared" si="0"/>
        <v>0</v>
      </c>
      <c r="O18" s="5"/>
      <c r="P18" s="4"/>
    </row>
    <row r="19" spans="2:16" x14ac:dyDescent="0.25"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>
        <f t="shared" si="0"/>
        <v>0</v>
      </c>
      <c r="O19" s="5"/>
      <c r="P19" s="4"/>
    </row>
    <row r="20" spans="2:16" x14ac:dyDescent="0.2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>
        <f t="shared" si="0"/>
        <v>0</v>
      </c>
      <c r="O20" s="5"/>
      <c r="P20" s="4"/>
    </row>
    <row r="21" spans="2:16" x14ac:dyDescent="0.25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>
        <f t="shared" si="0"/>
        <v>0</v>
      </c>
      <c r="O21" s="5"/>
      <c r="P21" s="4"/>
    </row>
    <row r="22" spans="2:16" x14ac:dyDescent="0.25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5"/>
      <c r="P22" s="4"/>
    </row>
    <row r="23" spans="2:16" x14ac:dyDescent="0.25">
      <c r="B23" s="9">
        <f>SUM(B6:B22)</f>
        <v>0</v>
      </c>
      <c r="C23" s="9">
        <f t="shared" ref="C23:P23" si="1">SUM(C6:C22)</f>
        <v>0</v>
      </c>
      <c r="D23" s="9">
        <f t="shared" si="1"/>
        <v>0</v>
      </c>
      <c r="E23" s="9">
        <f t="shared" si="1"/>
        <v>175</v>
      </c>
      <c r="F23" s="9">
        <f t="shared" si="1"/>
        <v>0</v>
      </c>
      <c r="G23" s="9">
        <f t="shared" si="1"/>
        <v>0</v>
      </c>
      <c r="H23" s="9">
        <f t="shared" si="1"/>
        <v>150</v>
      </c>
      <c r="I23" s="9">
        <f t="shared" si="1"/>
        <v>50</v>
      </c>
      <c r="J23" s="9">
        <f t="shared" si="1"/>
        <v>0</v>
      </c>
      <c r="K23" s="9">
        <f t="shared" si="1"/>
        <v>180</v>
      </c>
      <c r="L23" s="9">
        <f t="shared" si="1"/>
        <v>705</v>
      </c>
      <c r="M23" s="9">
        <f t="shared" si="1"/>
        <v>0</v>
      </c>
      <c r="N23" s="9">
        <f t="shared" si="1"/>
        <v>1260</v>
      </c>
      <c r="O23" s="5"/>
      <c r="P23" s="9">
        <f t="shared" si="1"/>
        <v>1260</v>
      </c>
    </row>
    <row r="24" spans="2:16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5"/>
      <c r="P24" s="4"/>
    </row>
    <row r="33" spans="3:3" x14ac:dyDescent="0.25">
      <c r="C33" s="17">
        <f>SUM(C6:C32)</f>
        <v>0</v>
      </c>
    </row>
  </sheetData>
  <printOptions headings="1" gridLines="1"/>
  <pageMargins left="0.7" right="0.7" top="0.75" bottom="0.75" header="0.3" footer="0.3"/>
  <pageSetup scale="73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BFED4-25A1-4E14-9EF5-AF875C542AF0}">
  <sheetPr>
    <pageSetUpPr fitToPage="1"/>
  </sheetPr>
  <dimension ref="A1:P33"/>
  <sheetViews>
    <sheetView workbookViewId="0">
      <selection activeCell="B9" sqref="B9"/>
    </sheetView>
  </sheetViews>
  <sheetFormatPr defaultRowHeight="15" x14ac:dyDescent="0.25"/>
  <cols>
    <col min="1" max="1" width="21.28515625" bestFit="1" customWidth="1"/>
    <col min="15" max="15" width="1.85546875" customWidth="1"/>
    <col min="16" max="16" width="9.7109375" bestFit="1" customWidth="1"/>
  </cols>
  <sheetData>
    <row r="1" spans="1:16" x14ac:dyDescent="0.25">
      <c r="A1" s="2" t="s">
        <v>0</v>
      </c>
    </row>
    <row r="2" spans="1:16" x14ac:dyDescent="0.25">
      <c r="A2" s="2" t="s">
        <v>43</v>
      </c>
    </row>
    <row r="3" spans="1:16" x14ac:dyDescent="0.25">
      <c r="A3" s="3">
        <v>46203</v>
      </c>
      <c r="P3" s="18">
        <f>+N3-N11</f>
        <v>0</v>
      </c>
    </row>
    <row r="4" spans="1:16" x14ac:dyDescent="0.25"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38">
        <v>45838</v>
      </c>
    </row>
    <row r="5" spans="1:16" x14ac:dyDescent="0.25">
      <c r="A5" s="2" t="s">
        <v>30</v>
      </c>
      <c r="B5" s="10" t="s">
        <v>6</v>
      </c>
      <c r="C5" s="10" t="s">
        <v>5</v>
      </c>
      <c r="D5" s="10" t="s">
        <v>7</v>
      </c>
      <c r="E5" s="10" t="s">
        <v>8</v>
      </c>
      <c r="F5" s="10" t="s">
        <v>9</v>
      </c>
      <c r="G5" s="10" t="s">
        <v>10</v>
      </c>
      <c r="H5" s="10" t="s">
        <v>11</v>
      </c>
      <c r="I5" s="10" t="s">
        <v>12</v>
      </c>
      <c r="J5" s="10" t="s">
        <v>13</v>
      </c>
      <c r="K5" s="10" t="s">
        <v>14</v>
      </c>
      <c r="L5" s="10" t="s">
        <v>15</v>
      </c>
      <c r="M5" s="10" t="s">
        <v>16</v>
      </c>
      <c r="N5" s="10" t="s">
        <v>17</v>
      </c>
      <c r="O5" s="7"/>
      <c r="P5" s="10" t="s">
        <v>1</v>
      </c>
    </row>
    <row r="6" spans="1:16" x14ac:dyDescent="0.25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6"/>
    </row>
    <row r="7" spans="1:16" x14ac:dyDescent="0.25">
      <c r="A7" t="s">
        <v>66</v>
      </c>
      <c r="B7" s="4">
        <v>400</v>
      </c>
      <c r="C7" s="4">
        <v>400</v>
      </c>
      <c r="D7" s="4">
        <v>400</v>
      </c>
      <c r="E7" s="4">
        <v>400</v>
      </c>
      <c r="F7" s="4">
        <v>400</v>
      </c>
      <c r="G7" s="4">
        <v>400</v>
      </c>
      <c r="H7" s="4">
        <v>400</v>
      </c>
      <c r="I7" s="4">
        <v>400</v>
      </c>
      <c r="J7" s="4">
        <v>400</v>
      </c>
      <c r="K7" s="4">
        <v>400</v>
      </c>
      <c r="L7" s="4">
        <v>400</v>
      </c>
      <c r="M7" s="4">
        <v>400</v>
      </c>
      <c r="N7" s="4">
        <f t="shared" ref="N7:N21" si="0">SUM(B7:M7)</f>
        <v>4800</v>
      </c>
      <c r="O7" s="5"/>
      <c r="P7" s="4">
        <v>4300</v>
      </c>
    </row>
    <row r="8" spans="1:16" x14ac:dyDescent="0.25">
      <c r="A8" t="s">
        <v>67</v>
      </c>
      <c r="B8" s="4">
        <v>254.666666666667</v>
      </c>
      <c r="C8" s="4">
        <v>254.66666666666666</v>
      </c>
      <c r="D8" s="4">
        <v>254.66666666666666</v>
      </c>
      <c r="E8" s="4">
        <v>254.66666666666666</v>
      </c>
      <c r="F8" s="4">
        <v>254.66666666666666</v>
      </c>
      <c r="G8" s="4">
        <v>254.66666666666666</v>
      </c>
      <c r="H8" s="4">
        <v>254.66666666666666</v>
      </c>
      <c r="I8" s="4">
        <v>254.66666666666666</v>
      </c>
      <c r="J8" s="4">
        <v>254.66666666666666</v>
      </c>
      <c r="K8" s="4">
        <v>254.66666666666666</v>
      </c>
      <c r="L8" s="4">
        <v>254.66666666666666</v>
      </c>
      <c r="M8" s="4">
        <v>254.66666666666666</v>
      </c>
      <c r="N8" s="4">
        <f t="shared" si="0"/>
        <v>3056</v>
      </c>
      <c r="O8" s="5"/>
      <c r="P8" s="4">
        <v>3056</v>
      </c>
    </row>
    <row r="9" spans="1:16" x14ac:dyDescent="0.25">
      <c r="A9" t="s">
        <v>68</v>
      </c>
      <c r="B9" s="4">
        <v>45</v>
      </c>
      <c r="C9" s="4">
        <v>45</v>
      </c>
      <c r="D9" s="4">
        <v>45</v>
      </c>
      <c r="E9" s="4">
        <v>45</v>
      </c>
      <c r="F9" s="4">
        <v>45</v>
      </c>
      <c r="G9" s="4">
        <v>45</v>
      </c>
      <c r="H9" s="4">
        <v>45</v>
      </c>
      <c r="I9" s="4">
        <v>45</v>
      </c>
      <c r="J9" s="4">
        <v>45</v>
      </c>
      <c r="K9" s="4">
        <v>45</v>
      </c>
      <c r="L9" s="4">
        <v>45</v>
      </c>
      <c r="M9" s="4">
        <v>45</v>
      </c>
      <c r="N9" s="4">
        <f t="shared" si="0"/>
        <v>540</v>
      </c>
      <c r="O9" s="5"/>
      <c r="P9" s="4">
        <v>540</v>
      </c>
    </row>
    <row r="10" spans="1:16" x14ac:dyDescent="0.25">
      <c r="A10" t="s">
        <v>75</v>
      </c>
      <c r="B10" s="4">
        <v>250</v>
      </c>
      <c r="C10" s="4">
        <v>250</v>
      </c>
      <c r="D10" s="4">
        <v>250</v>
      </c>
      <c r="E10" s="4">
        <v>250</v>
      </c>
      <c r="F10" s="4">
        <v>250</v>
      </c>
      <c r="G10" s="4">
        <v>250</v>
      </c>
      <c r="H10" s="4">
        <v>250</v>
      </c>
      <c r="I10" s="4">
        <v>250</v>
      </c>
      <c r="J10" s="4">
        <v>250</v>
      </c>
      <c r="K10" s="4">
        <v>250</v>
      </c>
      <c r="L10" s="4">
        <v>250</v>
      </c>
      <c r="M10" s="4">
        <v>250</v>
      </c>
      <c r="N10" s="4">
        <f t="shared" si="0"/>
        <v>3000</v>
      </c>
      <c r="O10" s="5"/>
      <c r="P10" s="4">
        <v>3000</v>
      </c>
    </row>
    <row r="11" spans="1:16" x14ac:dyDescent="0.25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>
        <f t="shared" si="0"/>
        <v>0</v>
      </c>
      <c r="O11" s="5"/>
      <c r="P11" s="4"/>
    </row>
    <row r="12" spans="1:16" x14ac:dyDescent="0.25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>
        <f t="shared" si="0"/>
        <v>0</v>
      </c>
      <c r="O12" s="5"/>
      <c r="P12" s="4"/>
    </row>
    <row r="13" spans="1:16" x14ac:dyDescent="0.25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>
        <f t="shared" si="0"/>
        <v>0</v>
      </c>
      <c r="O13" s="5"/>
      <c r="P13" s="4"/>
    </row>
    <row r="14" spans="1:16" x14ac:dyDescent="0.25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>
        <f t="shared" si="0"/>
        <v>0</v>
      </c>
      <c r="O14" s="5"/>
      <c r="P14" s="4"/>
    </row>
    <row r="15" spans="1:16" x14ac:dyDescent="0.25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>
        <f t="shared" si="0"/>
        <v>0</v>
      </c>
      <c r="O15" s="5"/>
      <c r="P15" s="4"/>
    </row>
    <row r="16" spans="1:16" x14ac:dyDescent="0.25"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>
        <f t="shared" si="0"/>
        <v>0</v>
      </c>
      <c r="O16" s="5"/>
      <c r="P16" s="4"/>
    </row>
    <row r="17" spans="2:16" x14ac:dyDescent="0.25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>
        <f t="shared" si="0"/>
        <v>0</v>
      </c>
      <c r="O17" s="5"/>
      <c r="P17" s="4"/>
    </row>
    <row r="18" spans="2:16" x14ac:dyDescent="0.25"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>
        <f t="shared" si="0"/>
        <v>0</v>
      </c>
      <c r="O18" s="5"/>
      <c r="P18" s="4"/>
    </row>
    <row r="19" spans="2:16" x14ac:dyDescent="0.25"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>
        <f t="shared" si="0"/>
        <v>0</v>
      </c>
      <c r="O19" s="5"/>
      <c r="P19" s="4"/>
    </row>
    <row r="20" spans="2:16" x14ac:dyDescent="0.2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>
        <f t="shared" si="0"/>
        <v>0</v>
      </c>
      <c r="O20" s="5"/>
      <c r="P20" s="4"/>
    </row>
    <row r="21" spans="2:16" x14ac:dyDescent="0.25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>
        <f t="shared" si="0"/>
        <v>0</v>
      </c>
      <c r="O21" s="5"/>
      <c r="P21" s="4"/>
    </row>
    <row r="22" spans="2:16" x14ac:dyDescent="0.25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5"/>
      <c r="P22" s="4"/>
    </row>
    <row r="23" spans="2:16" x14ac:dyDescent="0.25">
      <c r="B23" s="9">
        <f>SUM(B6:B22)</f>
        <v>949.66666666666697</v>
      </c>
      <c r="C23" s="9">
        <f t="shared" ref="C23:P23" si="1">SUM(C6:C22)</f>
        <v>949.66666666666663</v>
      </c>
      <c r="D23" s="9">
        <f t="shared" si="1"/>
        <v>949.66666666666663</v>
      </c>
      <c r="E23" s="9">
        <f t="shared" si="1"/>
        <v>949.66666666666663</v>
      </c>
      <c r="F23" s="9">
        <f t="shared" si="1"/>
        <v>949.66666666666663</v>
      </c>
      <c r="G23" s="9">
        <f t="shared" si="1"/>
        <v>949.66666666666663</v>
      </c>
      <c r="H23" s="9">
        <f t="shared" si="1"/>
        <v>949.66666666666663</v>
      </c>
      <c r="I23" s="9">
        <f t="shared" si="1"/>
        <v>949.66666666666663</v>
      </c>
      <c r="J23" s="9">
        <f t="shared" si="1"/>
        <v>949.66666666666663</v>
      </c>
      <c r="K23" s="9">
        <f t="shared" si="1"/>
        <v>949.66666666666663</v>
      </c>
      <c r="L23" s="9">
        <f t="shared" si="1"/>
        <v>949.66666666666663</v>
      </c>
      <c r="M23" s="9">
        <f t="shared" si="1"/>
        <v>949.66666666666663</v>
      </c>
      <c r="N23" s="9">
        <f t="shared" si="1"/>
        <v>11396</v>
      </c>
      <c r="O23" s="5"/>
      <c r="P23" s="9">
        <f t="shared" si="1"/>
        <v>10896</v>
      </c>
    </row>
    <row r="24" spans="2:16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5"/>
      <c r="P24" s="4"/>
    </row>
    <row r="33" spans="3:3" x14ac:dyDescent="0.25">
      <c r="C33" s="17"/>
    </row>
  </sheetData>
  <printOptions headings="1" gridLines="1"/>
  <pageMargins left="0.7" right="0.7" top="0.75" bottom="0.75" header="0.3" footer="0.3"/>
  <pageSetup scale="7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4F5FD-D0FA-4227-90EE-107449D0130B}">
  <sheetPr>
    <pageSetUpPr fitToPage="1"/>
  </sheetPr>
  <dimension ref="A1:P33"/>
  <sheetViews>
    <sheetView workbookViewId="0">
      <selection activeCell="H7" sqref="H7"/>
    </sheetView>
  </sheetViews>
  <sheetFormatPr defaultRowHeight="15" x14ac:dyDescent="0.25"/>
  <cols>
    <col min="1" max="1" width="21.28515625" bestFit="1" customWidth="1"/>
    <col min="15" max="15" width="1.7109375" customWidth="1"/>
    <col min="16" max="16" width="9.7109375" bestFit="1" customWidth="1"/>
  </cols>
  <sheetData>
    <row r="1" spans="1:16" x14ac:dyDescent="0.25">
      <c r="A1" s="2" t="s">
        <v>0</v>
      </c>
    </row>
    <row r="2" spans="1:16" x14ac:dyDescent="0.25">
      <c r="A2" s="2" t="s">
        <v>43</v>
      </c>
    </row>
    <row r="3" spans="1:16" x14ac:dyDescent="0.25">
      <c r="A3" s="3">
        <v>46203</v>
      </c>
      <c r="P3" s="18">
        <f>+N3-N11</f>
        <v>0</v>
      </c>
    </row>
    <row r="4" spans="1:16" x14ac:dyDescent="0.25"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43">
        <v>45838</v>
      </c>
    </row>
    <row r="5" spans="1:16" x14ac:dyDescent="0.25">
      <c r="A5" s="2" t="s">
        <v>31</v>
      </c>
      <c r="B5" s="10" t="s">
        <v>6</v>
      </c>
      <c r="C5" s="10" t="s">
        <v>5</v>
      </c>
      <c r="D5" s="10" t="s">
        <v>7</v>
      </c>
      <c r="E5" s="10" t="s">
        <v>8</v>
      </c>
      <c r="F5" s="10" t="s">
        <v>9</v>
      </c>
      <c r="G5" s="10" t="s">
        <v>10</v>
      </c>
      <c r="H5" s="10" t="s">
        <v>11</v>
      </c>
      <c r="I5" s="10" t="s">
        <v>12</v>
      </c>
      <c r="J5" s="10" t="s">
        <v>13</v>
      </c>
      <c r="K5" s="10" t="s">
        <v>14</v>
      </c>
      <c r="L5" s="10" t="s">
        <v>15</v>
      </c>
      <c r="M5" s="10" t="s">
        <v>16</v>
      </c>
      <c r="N5" s="10" t="s">
        <v>17</v>
      </c>
      <c r="O5" s="7"/>
      <c r="P5" s="10" t="s">
        <v>1</v>
      </c>
    </row>
    <row r="6" spans="1:16" x14ac:dyDescent="0.25"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6"/>
    </row>
    <row r="7" spans="1:16" x14ac:dyDescent="0.25">
      <c r="B7" s="4">
        <v>500</v>
      </c>
      <c r="C7" s="4">
        <v>0</v>
      </c>
      <c r="D7" s="4">
        <v>0</v>
      </c>
      <c r="E7" s="4">
        <v>0</v>
      </c>
      <c r="F7" s="4">
        <v>500</v>
      </c>
      <c r="G7" s="4">
        <v>800</v>
      </c>
      <c r="H7" s="4">
        <v>1000</v>
      </c>
      <c r="I7" s="4">
        <v>1500</v>
      </c>
      <c r="J7" s="4">
        <v>500</v>
      </c>
      <c r="K7" s="4">
        <v>200</v>
      </c>
      <c r="L7" s="4"/>
      <c r="M7" s="4"/>
      <c r="N7" s="4">
        <f>SUM(B7:M7)</f>
        <v>5000</v>
      </c>
      <c r="O7" s="5"/>
      <c r="P7" s="4">
        <v>3515</v>
      </c>
    </row>
    <row r="8" spans="1:16" x14ac:dyDescent="0.25"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>
        <f t="shared" ref="N8:N21" si="0">SUM(B8:M8)</f>
        <v>0</v>
      </c>
      <c r="O8" s="5"/>
      <c r="P8" s="4"/>
    </row>
    <row r="9" spans="1:16" x14ac:dyDescent="0.25"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>
        <f t="shared" si="0"/>
        <v>0</v>
      </c>
      <c r="O9" s="5"/>
      <c r="P9" s="4"/>
    </row>
    <row r="10" spans="1:16" x14ac:dyDescent="0.25"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>
        <f t="shared" si="0"/>
        <v>0</v>
      </c>
      <c r="O10" s="5"/>
      <c r="P10" s="4"/>
    </row>
    <row r="11" spans="1:16" x14ac:dyDescent="0.25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>
        <f t="shared" si="0"/>
        <v>0</v>
      </c>
      <c r="O11" s="5"/>
      <c r="P11" s="4"/>
    </row>
    <row r="12" spans="1:16" x14ac:dyDescent="0.25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>
        <f t="shared" si="0"/>
        <v>0</v>
      </c>
      <c r="O12" s="5"/>
      <c r="P12" s="4"/>
    </row>
    <row r="13" spans="1:16" x14ac:dyDescent="0.25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>
        <f t="shared" si="0"/>
        <v>0</v>
      </c>
      <c r="O13" s="5"/>
      <c r="P13" s="4"/>
    </row>
    <row r="14" spans="1:16" x14ac:dyDescent="0.25"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>
        <f t="shared" si="0"/>
        <v>0</v>
      </c>
      <c r="O14" s="5"/>
      <c r="P14" s="4"/>
    </row>
    <row r="15" spans="1:16" x14ac:dyDescent="0.25"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>
        <f t="shared" si="0"/>
        <v>0</v>
      </c>
      <c r="O15" s="5"/>
      <c r="P15" s="4"/>
    </row>
    <row r="16" spans="1:16" x14ac:dyDescent="0.25"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>
        <f t="shared" si="0"/>
        <v>0</v>
      </c>
      <c r="O16" s="5"/>
      <c r="P16" s="4"/>
    </row>
    <row r="17" spans="2:16" x14ac:dyDescent="0.25"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>
        <f t="shared" si="0"/>
        <v>0</v>
      </c>
      <c r="O17" s="5"/>
      <c r="P17" s="4"/>
    </row>
    <row r="18" spans="2:16" x14ac:dyDescent="0.25"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>
        <f t="shared" si="0"/>
        <v>0</v>
      </c>
      <c r="O18" s="5"/>
      <c r="P18" s="4"/>
    </row>
    <row r="19" spans="2:16" x14ac:dyDescent="0.25"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>
        <f t="shared" si="0"/>
        <v>0</v>
      </c>
      <c r="O19" s="5"/>
      <c r="P19" s="4"/>
    </row>
    <row r="20" spans="2:16" x14ac:dyDescent="0.2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>
        <f t="shared" si="0"/>
        <v>0</v>
      </c>
      <c r="O20" s="5"/>
      <c r="P20" s="4"/>
    </row>
    <row r="21" spans="2:16" x14ac:dyDescent="0.25"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>
        <f t="shared" si="0"/>
        <v>0</v>
      </c>
      <c r="O21" s="5"/>
      <c r="P21" s="4"/>
    </row>
    <row r="22" spans="2:16" x14ac:dyDescent="0.25"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5"/>
      <c r="P22" s="4"/>
    </row>
    <row r="23" spans="2:16" x14ac:dyDescent="0.25">
      <c r="B23" s="9">
        <f>SUM(B6:B22)</f>
        <v>500</v>
      </c>
      <c r="C23" s="9">
        <f t="shared" ref="C23:P23" si="1">SUM(C6:C22)</f>
        <v>0</v>
      </c>
      <c r="D23" s="9">
        <f t="shared" si="1"/>
        <v>0</v>
      </c>
      <c r="E23" s="9">
        <f t="shared" si="1"/>
        <v>0</v>
      </c>
      <c r="F23" s="9">
        <f t="shared" si="1"/>
        <v>500</v>
      </c>
      <c r="G23" s="9">
        <f t="shared" si="1"/>
        <v>800</v>
      </c>
      <c r="H23" s="9">
        <f t="shared" si="1"/>
        <v>1000</v>
      </c>
      <c r="I23" s="9">
        <f t="shared" si="1"/>
        <v>1500</v>
      </c>
      <c r="J23" s="9">
        <f t="shared" si="1"/>
        <v>500</v>
      </c>
      <c r="K23" s="9">
        <f t="shared" si="1"/>
        <v>200</v>
      </c>
      <c r="L23" s="9">
        <f t="shared" si="1"/>
        <v>0</v>
      </c>
      <c r="M23" s="9">
        <f t="shared" si="1"/>
        <v>0</v>
      </c>
      <c r="N23" s="9">
        <f t="shared" si="1"/>
        <v>5000</v>
      </c>
      <c r="O23" s="5"/>
      <c r="P23" s="9">
        <f t="shared" si="1"/>
        <v>3515</v>
      </c>
    </row>
    <row r="24" spans="2:16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5"/>
      <c r="P24" s="4"/>
    </row>
    <row r="27" spans="2:16" x14ac:dyDescent="0.25"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  <row r="33" spans="3:3" x14ac:dyDescent="0.25">
      <c r="C33" s="17"/>
    </row>
  </sheetData>
  <printOptions headings="1" gridLines="1"/>
  <pageMargins left="0.7" right="0.7" top="0.75" bottom="0.75" header="0.3" footer="0.3"/>
  <pageSetup scale="78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710C6-B686-4F7D-A6FF-D42A3A11C1F5}">
  <sheetPr>
    <pageSetUpPr fitToPage="1"/>
  </sheetPr>
  <dimension ref="A1:L36"/>
  <sheetViews>
    <sheetView workbookViewId="0"/>
  </sheetViews>
  <sheetFormatPr defaultRowHeight="15" x14ac:dyDescent="0.25"/>
  <cols>
    <col min="1" max="1" width="33.28515625" bestFit="1" customWidth="1"/>
    <col min="2" max="2" width="9.85546875" style="1" bestFit="1" customWidth="1"/>
    <col min="3" max="3" width="2" style="8" customWidth="1"/>
    <col min="4" max="4" width="30.7109375" bestFit="1" customWidth="1"/>
    <col min="5" max="5" width="10.42578125" bestFit="1" customWidth="1"/>
    <col min="6" max="6" width="12.140625" bestFit="1" customWidth="1"/>
    <col min="7" max="7" width="2" style="8" customWidth="1"/>
    <col min="10" max="10" width="12.85546875" bestFit="1" customWidth="1"/>
    <col min="11" max="11" width="9.85546875" bestFit="1" customWidth="1"/>
  </cols>
  <sheetData>
    <row r="1" spans="1:10" x14ac:dyDescent="0.25">
      <c r="A1" s="3">
        <v>46203</v>
      </c>
    </row>
    <row r="2" spans="1:10" x14ac:dyDescent="0.25">
      <c r="A2" s="2" t="s">
        <v>86</v>
      </c>
    </row>
    <row r="4" spans="1:10" s="2" customFormat="1" x14ac:dyDescent="0.25">
      <c r="B4" s="21" t="s">
        <v>93</v>
      </c>
      <c r="C4" s="25"/>
      <c r="D4" s="16" t="s">
        <v>109</v>
      </c>
      <c r="F4" s="16" t="s">
        <v>79</v>
      </c>
      <c r="G4" s="25"/>
    </row>
    <row r="5" spans="1:10" x14ac:dyDescent="0.25">
      <c r="F5" s="16" t="s">
        <v>111</v>
      </c>
    </row>
    <row r="6" spans="1:10" x14ac:dyDescent="0.25">
      <c r="J6" s="1"/>
    </row>
    <row r="7" spans="1:10" x14ac:dyDescent="0.25">
      <c r="A7" t="s">
        <v>87</v>
      </c>
      <c r="B7" s="1">
        <v>7737.17</v>
      </c>
      <c r="D7" t="s">
        <v>88</v>
      </c>
      <c r="E7" s="32">
        <f>7737.17+14365.7+440+218+700+662+19408.03-0.8</f>
        <v>43530.1</v>
      </c>
      <c r="F7" s="24">
        <f>+E7-B7</f>
        <v>35792.93</v>
      </c>
      <c r="H7" t="s">
        <v>107</v>
      </c>
      <c r="J7" s="1"/>
    </row>
    <row r="8" spans="1:10" x14ac:dyDescent="0.25">
      <c r="E8" s="1"/>
      <c r="J8" s="1"/>
    </row>
    <row r="9" spans="1:10" x14ac:dyDescent="0.25">
      <c r="A9" t="s">
        <v>82</v>
      </c>
      <c r="B9" s="1">
        <v>21068.080000000002</v>
      </c>
      <c r="D9" t="s">
        <v>89</v>
      </c>
      <c r="E9" s="1">
        <v>33515.24</v>
      </c>
      <c r="F9" s="24">
        <f>+E9-B9</f>
        <v>12447.159999999996</v>
      </c>
      <c r="H9">
        <f>26333.21+6000</f>
        <v>32333.21</v>
      </c>
      <c r="I9" t="s">
        <v>99</v>
      </c>
      <c r="J9" s="1"/>
    </row>
    <row r="10" spans="1:10" x14ac:dyDescent="0.25">
      <c r="E10" s="1"/>
      <c r="J10" s="1"/>
    </row>
    <row r="11" spans="1:10" x14ac:dyDescent="0.25">
      <c r="A11" t="s">
        <v>83</v>
      </c>
      <c r="B11" s="1">
        <v>69968.58</v>
      </c>
      <c r="D11" t="s">
        <v>90</v>
      </c>
      <c r="E11" s="1">
        <v>9520.86</v>
      </c>
      <c r="F11" s="24">
        <f>+E11-B11</f>
        <v>-60447.72</v>
      </c>
      <c r="H11" s="30">
        <v>44378</v>
      </c>
      <c r="I11" t="s">
        <v>104</v>
      </c>
      <c r="J11" s="1"/>
    </row>
    <row r="12" spans="1:10" x14ac:dyDescent="0.25">
      <c r="A12" t="s">
        <v>97</v>
      </c>
      <c r="D12" s="29" t="s">
        <v>98</v>
      </c>
      <c r="E12" s="27">
        <f>-K25</f>
        <v>-17483.36</v>
      </c>
      <c r="F12" s="24"/>
      <c r="H12" t="s">
        <v>106</v>
      </c>
      <c r="J12" s="1"/>
    </row>
    <row r="13" spans="1:10" x14ac:dyDescent="0.25">
      <c r="E13" s="1"/>
      <c r="F13" s="24"/>
      <c r="J13" s="1"/>
    </row>
    <row r="14" spans="1:10" x14ac:dyDescent="0.25">
      <c r="E14" s="1"/>
    </row>
    <row r="15" spans="1:10" x14ac:dyDescent="0.25">
      <c r="A15" t="s">
        <v>84</v>
      </c>
      <c r="B15" s="22">
        <f>SUM(B6:B14)</f>
        <v>98773.83</v>
      </c>
      <c r="D15" t="s">
        <v>101</v>
      </c>
      <c r="E15" s="22">
        <f>SUM(E6:E14)</f>
        <v>69082.84</v>
      </c>
      <c r="F15" s="22">
        <f>SUM(F6:F14)</f>
        <v>-12207.630000000005</v>
      </c>
      <c r="J15" s="1"/>
    </row>
    <row r="16" spans="1:10" x14ac:dyDescent="0.25">
      <c r="E16" s="1"/>
      <c r="J16" s="1"/>
    </row>
    <row r="17" spans="1:12" x14ac:dyDescent="0.25">
      <c r="E17" s="1"/>
      <c r="J17" s="1"/>
    </row>
    <row r="18" spans="1:12" x14ac:dyDescent="0.25">
      <c r="E18" s="1"/>
      <c r="J18" s="1"/>
    </row>
    <row r="19" spans="1:12" x14ac:dyDescent="0.25">
      <c r="A19" t="s">
        <v>81</v>
      </c>
      <c r="B19" s="1">
        <v>8000</v>
      </c>
      <c r="D19" t="s">
        <v>91</v>
      </c>
      <c r="E19" s="32">
        <f>238.85+47.19+17208.7</f>
        <v>17494.740000000002</v>
      </c>
      <c r="F19" s="24">
        <f>+E19-B19</f>
        <v>9494.7400000000016</v>
      </c>
      <c r="H19" t="s">
        <v>105</v>
      </c>
      <c r="J19" s="1"/>
    </row>
    <row r="20" spans="1:12" x14ac:dyDescent="0.25">
      <c r="E20" s="1"/>
    </row>
    <row r="21" spans="1:12" x14ac:dyDescent="0.25">
      <c r="A21" t="s">
        <v>80</v>
      </c>
      <c r="B21" s="1">
        <v>45000</v>
      </c>
      <c r="D21" t="s">
        <v>92</v>
      </c>
      <c r="E21" s="1">
        <v>51713.69</v>
      </c>
      <c r="F21" s="24">
        <f>+E21-B21</f>
        <v>6713.6900000000023</v>
      </c>
      <c r="H21" t="s">
        <v>94</v>
      </c>
    </row>
    <row r="22" spans="1:12" x14ac:dyDescent="0.25">
      <c r="E22" s="1"/>
    </row>
    <row r="23" spans="1:12" x14ac:dyDescent="0.25">
      <c r="A23" t="s">
        <v>103</v>
      </c>
      <c r="B23" s="1">
        <f>+B21-B19</f>
        <v>37000</v>
      </c>
      <c r="E23" s="1">
        <f>+E21-E19</f>
        <v>34218.949999999997</v>
      </c>
      <c r="F23" s="24">
        <f>+B23-E23</f>
        <v>2781.0500000000029</v>
      </c>
      <c r="H23" t="s">
        <v>95</v>
      </c>
      <c r="J23" s="1"/>
      <c r="K23" s="1">
        <f>42816.57-26333.21</f>
        <v>16483.36</v>
      </c>
      <c r="L23" t="s">
        <v>96</v>
      </c>
    </row>
    <row r="24" spans="1:12" x14ac:dyDescent="0.25">
      <c r="H24" t="s">
        <v>102</v>
      </c>
      <c r="K24" s="1">
        <v>1000</v>
      </c>
    </row>
    <row r="25" spans="1:12" ht="15.75" thickBot="1" x14ac:dyDescent="0.3">
      <c r="A25" t="s">
        <v>85</v>
      </c>
      <c r="B25" s="23">
        <f>+B15+B19-B21</f>
        <v>61773.83</v>
      </c>
      <c r="D25" s="28" t="s">
        <v>100</v>
      </c>
      <c r="E25" s="26"/>
      <c r="K25" s="31">
        <f>SUM(K23:K24)</f>
        <v>17483.36</v>
      </c>
      <c r="L25" s="28" t="s">
        <v>98</v>
      </c>
    </row>
    <row r="26" spans="1:12" ht="15.75" thickTop="1" x14ac:dyDescent="0.25"/>
    <row r="27" spans="1:12" x14ac:dyDescent="0.25">
      <c r="F27" s="33" t="s">
        <v>112</v>
      </c>
    </row>
    <row r="28" spans="1:12" x14ac:dyDescent="0.25">
      <c r="A28" s="33" t="s">
        <v>110</v>
      </c>
      <c r="B28" s="34"/>
      <c r="F28" s="33" t="s">
        <v>113</v>
      </c>
    </row>
    <row r="29" spans="1:12" x14ac:dyDescent="0.25">
      <c r="A29" s="33"/>
      <c r="B29" s="34"/>
    </row>
    <row r="30" spans="1:12" x14ac:dyDescent="0.25">
      <c r="A30" s="33" t="s">
        <v>88</v>
      </c>
      <c r="B30" s="34">
        <v>24125.13</v>
      </c>
    </row>
    <row r="31" spans="1:12" x14ac:dyDescent="0.25">
      <c r="A31" s="33"/>
      <c r="B31" s="34"/>
    </row>
    <row r="32" spans="1:12" x14ac:dyDescent="0.25">
      <c r="A32" s="33" t="s">
        <v>89</v>
      </c>
      <c r="B32" s="34">
        <v>34772.129999999997</v>
      </c>
    </row>
    <row r="33" spans="1:6" x14ac:dyDescent="0.25">
      <c r="A33" s="33"/>
      <c r="B33" s="34"/>
    </row>
    <row r="34" spans="1:6" x14ac:dyDescent="0.25">
      <c r="A34" s="33" t="s">
        <v>90</v>
      </c>
      <c r="B34" s="34">
        <v>11888.51</v>
      </c>
    </row>
    <row r="35" spans="1:6" ht="15.75" thickBot="1" x14ac:dyDescent="0.3">
      <c r="A35" s="35"/>
      <c r="B35" s="36">
        <f>SUM(B30:B34)</f>
        <v>70785.76999999999</v>
      </c>
      <c r="F35" s="37">
        <f>+B35-E15</f>
        <v>1702.929999999993</v>
      </c>
    </row>
    <row r="36" spans="1:6" ht="15.75" thickTop="1" x14ac:dyDescent="0.25"/>
  </sheetData>
  <printOptions headings="1" gridLines="1"/>
  <pageMargins left="0.7" right="0.7" top="0.75" bottom="0.75" header="0.3" footer="0.3"/>
  <pageSetup scale="61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8</vt:i4>
      </vt:variant>
    </vt:vector>
  </HeadingPairs>
  <TitlesOfParts>
    <vt:vector size="18" baseType="lpstr">
      <vt:lpstr>Budget Rollup</vt:lpstr>
      <vt:lpstr>Rev Distribution</vt:lpstr>
      <vt:lpstr>Payroll</vt:lpstr>
      <vt:lpstr>PSPRS</vt:lpstr>
      <vt:lpstr>Comm</vt:lpstr>
      <vt:lpstr>Training</vt:lpstr>
      <vt:lpstr>Dues</vt:lpstr>
      <vt:lpstr>Utilities</vt:lpstr>
      <vt:lpstr>Propane</vt:lpstr>
      <vt:lpstr>Est of Cap. Reserve not updated</vt:lpstr>
      <vt:lpstr>Comm!Print_Area</vt:lpstr>
      <vt:lpstr>Dues!Print_Area</vt:lpstr>
      <vt:lpstr>'Est of Cap. Reserve not updated'!Print_Area</vt:lpstr>
      <vt:lpstr>Payroll!Print_Area</vt:lpstr>
      <vt:lpstr>PSPRS!Print_Area</vt:lpstr>
      <vt:lpstr>'Rev Distribution'!Print_Area</vt:lpstr>
      <vt:lpstr>Training!Print_Area</vt:lpstr>
      <vt:lpstr>Utilities!Print_Area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Jennifer Haslip</dc:creator>
  <cp:lastModifiedBy>Groom Creek Fire District</cp:lastModifiedBy>
  <cp:lastPrinted>2025-04-24T22:22:11Z</cp:lastPrinted>
  <dcterms:created xsi:type="dcterms:W3CDTF">2021-05-04T15:59:20Z</dcterms:created>
  <dcterms:modified xsi:type="dcterms:W3CDTF">2025-04-24T23:08:52Z</dcterms:modified>
</cp:coreProperties>
</file>